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22.07.2021.1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(2)'!$A$1:$P$400</definedName>
  </definedNames>
  <calcPr calcId="162913" fullCalcOnLoad="1" refMode="R1C1"/>
</workbook>
</file>

<file path=xl/calcChain.xml><?xml version="1.0" encoding="utf-8"?>
<calcChain xmlns="http://schemas.openxmlformats.org/spreadsheetml/2006/main">
  <c r="K338" i="8" l="1"/>
  <c r="K330" i="8"/>
  <c r="F223" i="8"/>
  <c r="F236" i="8"/>
  <c r="F122" i="8"/>
  <c r="F105" i="8"/>
  <c r="F234" i="8"/>
  <c r="H216" i="8"/>
  <c r="G216" i="8"/>
  <c r="F216" i="8"/>
  <c r="H213" i="8"/>
  <c r="G213" i="8"/>
  <c r="F213" i="8"/>
  <c r="E213" i="8"/>
  <c r="P213" i="8"/>
  <c r="K357" i="8"/>
  <c r="K335" i="8"/>
  <c r="G92" i="8"/>
  <c r="F92" i="8"/>
  <c r="F396" i="8"/>
  <c r="F392" i="8"/>
  <c r="K392" i="8"/>
  <c r="K395" i="8"/>
  <c r="K396" i="8"/>
  <c r="K255" i="8"/>
  <c r="F335" i="8"/>
  <c r="F57" i="8"/>
  <c r="F83" i="8"/>
  <c r="K74" i="8"/>
  <c r="F74" i="8"/>
  <c r="K57" i="8"/>
  <c r="K53" i="8"/>
  <c r="F53" i="8"/>
  <c r="E53" i="8"/>
  <c r="F386" i="8"/>
  <c r="O386" i="8"/>
  <c r="K337" i="8"/>
  <c r="O337" i="8"/>
  <c r="K153" i="8"/>
  <c r="L153" i="8"/>
  <c r="M153" i="8"/>
  <c r="N153" i="8"/>
  <c r="J153" i="8"/>
  <c r="K234" i="8"/>
  <c r="O235" i="8"/>
  <c r="O153" i="8"/>
  <c r="J337" i="8"/>
  <c r="K369" i="8"/>
  <c r="K361" i="8"/>
  <c r="O361" i="8"/>
  <c r="J361" i="8"/>
  <c r="K352" i="8"/>
  <c r="K313" i="8"/>
  <c r="L313" i="8"/>
  <c r="M313" i="8"/>
  <c r="N313" i="8"/>
  <c r="O313" i="8"/>
  <c r="K344" i="8"/>
  <c r="K89" i="8"/>
  <c r="O88" i="8"/>
  <c r="G89" i="8"/>
  <c r="G48" i="8"/>
  <c r="F89" i="8"/>
  <c r="J88" i="8"/>
  <c r="E88" i="8"/>
  <c r="F48" i="8"/>
  <c r="H48" i="8"/>
  <c r="I48" i="8"/>
  <c r="K48" i="8"/>
  <c r="L48" i="8"/>
  <c r="M48" i="8"/>
  <c r="N48" i="8"/>
  <c r="F131" i="8"/>
  <c r="F134" i="8"/>
  <c r="K323" i="8"/>
  <c r="M51" i="8"/>
  <c r="M42" i="8"/>
  <c r="N51" i="8"/>
  <c r="N42" i="8"/>
  <c r="E74" i="8"/>
  <c r="E57" i="8"/>
  <c r="H53" i="8"/>
  <c r="F80" i="8"/>
  <c r="F85" i="8"/>
  <c r="E85" i="8"/>
  <c r="F52" i="8"/>
  <c r="E52" i="8"/>
  <c r="K368" i="8"/>
  <c r="H155" i="8"/>
  <c r="F155" i="8"/>
  <c r="H316" i="8"/>
  <c r="H315" i="8"/>
  <c r="F316" i="8"/>
  <c r="O395" i="8"/>
  <c r="J395" i="8"/>
  <c r="P395" i="8"/>
  <c r="O392" i="8"/>
  <c r="J392" i="8"/>
  <c r="F17" i="8"/>
  <c r="K111" i="8"/>
  <c r="F111" i="8"/>
  <c r="E111" i="8"/>
  <c r="O255" i="8"/>
  <c r="J255" i="8"/>
  <c r="F255" i="8"/>
  <c r="E255" i="8"/>
  <c r="G17" i="8"/>
  <c r="G16" i="8"/>
  <c r="G14" i="8"/>
  <c r="K17" i="8"/>
  <c r="O17" i="8"/>
  <c r="F389" i="8"/>
  <c r="G389" i="8"/>
  <c r="G388" i="8"/>
  <c r="H389" i="8"/>
  <c r="H388" i="8"/>
  <c r="H387" i="8"/>
  <c r="F274" i="8"/>
  <c r="E274" i="8"/>
  <c r="E273" i="8"/>
  <c r="P273" i="8"/>
  <c r="F32" i="8"/>
  <c r="K321" i="8"/>
  <c r="G53" i="8"/>
  <c r="E105" i="8"/>
  <c r="K325" i="8"/>
  <c r="O325" i="8"/>
  <c r="J325" i="8"/>
  <c r="P325" i="8"/>
  <c r="K318" i="8"/>
  <c r="L315" i="8"/>
  <c r="L306" i="8"/>
  <c r="M315" i="8"/>
  <c r="M306" i="8"/>
  <c r="N315" i="8"/>
  <c r="N306" i="8"/>
  <c r="K355" i="8"/>
  <c r="O355" i="8"/>
  <c r="J355" i="8"/>
  <c r="K310" i="8"/>
  <c r="L310" i="8"/>
  <c r="M310" i="8"/>
  <c r="N310" i="8"/>
  <c r="K269" i="8"/>
  <c r="F269" i="8"/>
  <c r="E269" i="8"/>
  <c r="F361" i="8"/>
  <c r="E83" i="8"/>
  <c r="F372" i="8"/>
  <c r="E372" i="8"/>
  <c r="E394" i="8"/>
  <c r="H249" i="8"/>
  <c r="H247" i="8"/>
  <c r="H245" i="8"/>
  <c r="F249" i="8"/>
  <c r="E249" i="8"/>
  <c r="P249" i="8"/>
  <c r="H252" i="8"/>
  <c r="F252" i="8"/>
  <c r="F247" i="8"/>
  <c r="F245" i="8"/>
  <c r="H255" i="8"/>
  <c r="F41" i="8"/>
  <c r="H392" i="8"/>
  <c r="H391" i="8"/>
  <c r="H390" i="8"/>
  <c r="E392" i="8"/>
  <c r="G74" i="8"/>
  <c r="G57" i="8"/>
  <c r="E331" i="8"/>
  <c r="P331" i="8"/>
  <c r="F336" i="8"/>
  <c r="O279" i="8"/>
  <c r="O278" i="8"/>
  <c r="O276" i="8"/>
  <c r="K316" i="8"/>
  <c r="O316" i="8"/>
  <c r="G316" i="8"/>
  <c r="G315" i="8"/>
  <c r="G306" i="8"/>
  <c r="E17" i="8"/>
  <c r="G155" i="8"/>
  <c r="F267" i="8"/>
  <c r="E267" i="8"/>
  <c r="K105" i="8"/>
  <c r="K343" i="8"/>
  <c r="F388" i="8"/>
  <c r="F387" i="8"/>
  <c r="K154" i="8"/>
  <c r="F27" i="8"/>
  <c r="K149" i="8"/>
  <c r="E122" i="8"/>
  <c r="O314" i="8"/>
  <c r="K314" i="8"/>
  <c r="O335" i="8"/>
  <c r="J335" i="8"/>
  <c r="O344" i="8"/>
  <c r="J344" i="8"/>
  <c r="P344" i="8"/>
  <c r="O243" i="8"/>
  <c r="F140" i="8"/>
  <c r="E140" i="8"/>
  <c r="H154" i="8"/>
  <c r="H152" i="8"/>
  <c r="E236" i="8"/>
  <c r="P236" i="8"/>
  <c r="G227" i="8"/>
  <c r="G154" i="8"/>
  <c r="G152" i="8"/>
  <c r="O74" i="8"/>
  <c r="J74" i="8"/>
  <c r="P74" i="8"/>
  <c r="F25" i="8"/>
  <c r="L31" i="8"/>
  <c r="O318" i="8"/>
  <c r="J318" i="8"/>
  <c r="P318" i="8"/>
  <c r="O332" i="8"/>
  <c r="J332" i="8"/>
  <c r="P332" i="8"/>
  <c r="E92" i="8"/>
  <c r="F50" i="8"/>
  <c r="G50" i="8"/>
  <c r="H50" i="8"/>
  <c r="I50" i="8"/>
  <c r="K50" i="8"/>
  <c r="L50" i="8"/>
  <c r="M50" i="8"/>
  <c r="N50" i="8"/>
  <c r="O92" i="8"/>
  <c r="O93" i="8"/>
  <c r="O50" i="8"/>
  <c r="J92" i="8"/>
  <c r="J93" i="8"/>
  <c r="J50" i="8"/>
  <c r="E93" i="8"/>
  <c r="P93" i="8"/>
  <c r="K275" i="8"/>
  <c r="O275" i="8"/>
  <c r="O370" i="8"/>
  <c r="J372" i="8"/>
  <c r="J370" i="8"/>
  <c r="P370" i="8"/>
  <c r="J371" i="8"/>
  <c r="P371" i="8"/>
  <c r="O15" i="8"/>
  <c r="J38" i="8"/>
  <c r="P38" i="8"/>
  <c r="O37" i="8"/>
  <c r="F139" i="8"/>
  <c r="E139" i="8"/>
  <c r="H306" i="8"/>
  <c r="I315" i="8"/>
  <c r="K278" i="8"/>
  <c r="G275" i="8"/>
  <c r="F275" i="8"/>
  <c r="E275" i="8"/>
  <c r="G272" i="8"/>
  <c r="F272" i="8"/>
  <c r="G269" i="8"/>
  <c r="H74" i="8"/>
  <c r="H57" i="8"/>
  <c r="G278" i="8"/>
  <c r="G276" i="8"/>
  <c r="E279" i="8"/>
  <c r="O323" i="8"/>
  <c r="O290" i="8"/>
  <c r="J290" i="8"/>
  <c r="O117" i="8"/>
  <c r="J117" i="8"/>
  <c r="O121" i="8"/>
  <c r="J121" i="8"/>
  <c r="O129" i="8"/>
  <c r="J129" i="8"/>
  <c r="O138" i="8"/>
  <c r="J138" i="8"/>
  <c r="O145" i="8"/>
  <c r="J145" i="8"/>
  <c r="L39" i="8"/>
  <c r="J39" i="8"/>
  <c r="E117" i="8"/>
  <c r="E121" i="8"/>
  <c r="E129" i="8"/>
  <c r="P129" i="8"/>
  <c r="E138" i="8"/>
  <c r="P138" i="8"/>
  <c r="E144" i="8"/>
  <c r="E147" i="8"/>
  <c r="P147" i="8"/>
  <c r="H272" i="8"/>
  <c r="K272" i="8"/>
  <c r="O272" i="8"/>
  <c r="J272" i="8"/>
  <c r="E272" i="8"/>
  <c r="E271" i="8"/>
  <c r="E242" i="8"/>
  <c r="O369" i="8"/>
  <c r="J369" i="8"/>
  <c r="K248" i="8"/>
  <c r="O248" i="8"/>
  <c r="J248" i="8"/>
  <c r="F248" i="8"/>
  <c r="K354" i="8"/>
  <c r="O354" i="8"/>
  <c r="J354" i="8"/>
  <c r="P354" i="8"/>
  <c r="O330" i="8"/>
  <c r="J330" i="8"/>
  <c r="P330" i="8"/>
  <c r="E290" i="8"/>
  <c r="K257" i="8"/>
  <c r="F257" i="8"/>
  <c r="E257" i="8"/>
  <c r="E155" i="8"/>
  <c r="F261" i="8"/>
  <c r="E261" i="8"/>
  <c r="O70" i="8"/>
  <c r="J70" i="8"/>
  <c r="O71" i="8"/>
  <c r="J71" i="8"/>
  <c r="O73" i="8"/>
  <c r="J73" i="8"/>
  <c r="J72" i="8"/>
  <c r="E73" i="8"/>
  <c r="P73" i="8"/>
  <c r="L37" i="8"/>
  <c r="K317" i="8"/>
  <c r="O317" i="8"/>
  <c r="J317" i="8"/>
  <c r="G261" i="8"/>
  <c r="G260" i="8"/>
  <c r="G259" i="8"/>
  <c r="G248" i="8"/>
  <c r="G247" i="8"/>
  <c r="G245" i="8"/>
  <c r="H17" i="8"/>
  <c r="H16" i="8"/>
  <c r="H14" i="8"/>
  <c r="G387" i="8"/>
  <c r="I388" i="8"/>
  <c r="I387" i="8"/>
  <c r="K388" i="8"/>
  <c r="K387" i="8"/>
  <c r="L388" i="8"/>
  <c r="L387" i="8"/>
  <c r="M388" i="8"/>
  <c r="M387" i="8"/>
  <c r="N388" i="8"/>
  <c r="N387" i="8"/>
  <c r="O389" i="8"/>
  <c r="E389" i="8"/>
  <c r="E388" i="8"/>
  <c r="E387" i="8"/>
  <c r="G85" i="8"/>
  <c r="P85" i="8"/>
  <c r="E81" i="8"/>
  <c r="E82" i="8"/>
  <c r="P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6" i="8"/>
  <c r="E87" i="8"/>
  <c r="E89" i="8"/>
  <c r="E48" i="8"/>
  <c r="E90" i="8"/>
  <c r="E58" i="8"/>
  <c r="I51" i="8"/>
  <c r="K91" i="8"/>
  <c r="G91" i="8"/>
  <c r="G49" i="8"/>
  <c r="F91" i="8"/>
  <c r="F49" i="8"/>
  <c r="J90" i="8"/>
  <c r="G47" i="8"/>
  <c r="F47" i="8"/>
  <c r="E47" i="8"/>
  <c r="P47" i="8"/>
  <c r="G59" i="8"/>
  <c r="G43" i="8"/>
  <c r="F59" i="8"/>
  <c r="H45" i="8"/>
  <c r="F45" i="8"/>
  <c r="F72" i="8"/>
  <c r="E72" i="8"/>
  <c r="P72" i="8"/>
  <c r="G72" i="8"/>
  <c r="G68" i="8"/>
  <c r="O104" i="8"/>
  <c r="J104" i="8"/>
  <c r="P104" i="8"/>
  <c r="O139" i="8"/>
  <c r="J139" i="8"/>
  <c r="P139" i="8"/>
  <c r="L74" i="8"/>
  <c r="F375" i="8"/>
  <c r="F373" i="8"/>
  <c r="H269" i="8"/>
  <c r="H254" i="8"/>
  <c r="F254" i="8"/>
  <c r="E254" i="8"/>
  <c r="E252" i="8"/>
  <c r="E216" i="8"/>
  <c r="P216" i="8"/>
  <c r="H80" i="8"/>
  <c r="E80" i="8"/>
  <c r="H241" i="8"/>
  <c r="H240" i="8"/>
  <c r="H239" i="8"/>
  <c r="F241" i="8"/>
  <c r="F240" i="8"/>
  <c r="F239" i="8"/>
  <c r="G104" i="8"/>
  <c r="G103" i="8"/>
  <c r="G94" i="8"/>
  <c r="F104" i="8"/>
  <c r="F67" i="8"/>
  <c r="E67" i="8"/>
  <c r="E32" i="8"/>
  <c r="L103" i="8"/>
  <c r="L94" i="8"/>
  <c r="M154" i="8"/>
  <c r="M152" i="8"/>
  <c r="N154" i="8"/>
  <c r="L154" i="8"/>
  <c r="K152" i="8"/>
  <c r="F34" i="8"/>
  <c r="E34" i="8"/>
  <c r="P267" i="8"/>
  <c r="F265" i="8"/>
  <c r="F264" i="8"/>
  <c r="E264" i="8"/>
  <c r="O333" i="8"/>
  <c r="J333" i="8"/>
  <c r="J365" i="8"/>
  <c r="O252" i="8"/>
  <c r="J252" i="8"/>
  <c r="E21" i="8"/>
  <c r="E23" i="8"/>
  <c r="E24" i="8"/>
  <c r="P24" i="8"/>
  <c r="J360" i="8"/>
  <c r="P360" i="8"/>
  <c r="J322" i="8"/>
  <c r="P322" i="8"/>
  <c r="O312" i="8"/>
  <c r="K312" i="8"/>
  <c r="K45" i="8"/>
  <c r="O45" i="8"/>
  <c r="J45" i="8"/>
  <c r="E143" i="8"/>
  <c r="P143" i="8"/>
  <c r="E145" i="8"/>
  <c r="E146" i="8"/>
  <c r="P146" i="8"/>
  <c r="E148" i="8"/>
  <c r="P148" i="8"/>
  <c r="F99" i="8"/>
  <c r="O343" i="8"/>
  <c r="J343" i="8"/>
  <c r="E132" i="8"/>
  <c r="P132" i="8"/>
  <c r="O270" i="8"/>
  <c r="J270" i="8"/>
  <c r="P270" i="8"/>
  <c r="O110" i="8"/>
  <c r="J110" i="8"/>
  <c r="J100" i="8"/>
  <c r="K100" i="8"/>
  <c r="O149" i="8"/>
  <c r="J149" i="8"/>
  <c r="K44" i="8"/>
  <c r="O44" i="8"/>
  <c r="O296" i="8"/>
  <c r="J296" i="8"/>
  <c r="P296" i="8"/>
  <c r="E133" i="8"/>
  <c r="E100" i="8"/>
  <c r="P100" i="8"/>
  <c r="F100" i="8"/>
  <c r="O56" i="8"/>
  <c r="J56" i="8"/>
  <c r="E56" i="8"/>
  <c r="O367" i="8"/>
  <c r="J367" i="8"/>
  <c r="P367" i="8"/>
  <c r="G375" i="8"/>
  <c r="G373" i="8"/>
  <c r="G240" i="8"/>
  <c r="G239" i="8"/>
  <c r="O396" i="8"/>
  <c r="J396" i="8"/>
  <c r="E396" i="8"/>
  <c r="O394" i="8"/>
  <c r="E393" i="8"/>
  <c r="P393" i="8"/>
  <c r="N391" i="8"/>
  <c r="N390" i="8"/>
  <c r="M391" i="8"/>
  <c r="M390" i="8"/>
  <c r="L391" i="8"/>
  <c r="L390" i="8"/>
  <c r="I391" i="8"/>
  <c r="I390" i="8"/>
  <c r="G391" i="8"/>
  <c r="G390" i="8"/>
  <c r="J386" i="8"/>
  <c r="E386" i="8"/>
  <c r="E385" i="8"/>
  <c r="E375" i="8"/>
  <c r="E373" i="8"/>
  <c r="O385" i="8"/>
  <c r="N385" i="8"/>
  <c r="M385" i="8"/>
  <c r="M381" i="8"/>
  <c r="M375" i="8"/>
  <c r="M373" i="8"/>
  <c r="L385" i="8"/>
  <c r="K385" i="8"/>
  <c r="K381" i="8"/>
  <c r="K375" i="8"/>
  <c r="K373" i="8"/>
  <c r="I385" i="8"/>
  <c r="I375" i="8"/>
  <c r="I373" i="8"/>
  <c r="H385" i="8"/>
  <c r="H375" i="8"/>
  <c r="H373" i="8"/>
  <c r="O384" i="8"/>
  <c r="J384" i="8"/>
  <c r="P384" i="8"/>
  <c r="O383" i="8"/>
  <c r="J383" i="8"/>
  <c r="P383" i="8"/>
  <c r="O382" i="8"/>
  <c r="E382" i="8"/>
  <c r="N381" i="8"/>
  <c r="L381" i="8"/>
  <c r="L375" i="8"/>
  <c r="L373" i="8"/>
  <c r="I381" i="8"/>
  <c r="H381" i="8"/>
  <c r="E381" i="8"/>
  <c r="O380" i="8"/>
  <c r="J380" i="8"/>
  <c r="E380" i="8"/>
  <c r="O379" i="8"/>
  <c r="J379" i="8"/>
  <c r="O378" i="8"/>
  <c r="J378" i="8"/>
  <c r="E378" i="8"/>
  <c r="O377" i="8"/>
  <c r="J377" i="8"/>
  <c r="P377" i="8"/>
  <c r="E377" i="8"/>
  <c r="O376" i="8"/>
  <c r="J376" i="8"/>
  <c r="E376" i="8"/>
  <c r="K374" i="8"/>
  <c r="O374" i="8"/>
  <c r="J366" i="8"/>
  <c r="P366" i="8"/>
  <c r="E366" i="8"/>
  <c r="E365" i="8"/>
  <c r="P365" i="8"/>
  <c r="J364" i="8"/>
  <c r="E364" i="8"/>
  <c r="O363" i="8"/>
  <c r="J363" i="8"/>
  <c r="E363" i="8"/>
  <c r="P363" i="8"/>
  <c r="O362" i="8"/>
  <c r="J362" i="8"/>
  <c r="E362" i="8"/>
  <c r="P362" i="8"/>
  <c r="E361" i="8"/>
  <c r="O359" i="8"/>
  <c r="J359" i="8"/>
  <c r="E359" i="8"/>
  <c r="O358" i="8"/>
  <c r="J358" i="8"/>
  <c r="P358" i="8"/>
  <c r="E357" i="8"/>
  <c r="O356" i="8"/>
  <c r="E356" i="8"/>
  <c r="E355" i="8"/>
  <c r="P355" i="8"/>
  <c r="E354" i="8"/>
  <c r="O353" i="8"/>
  <c r="J353" i="8"/>
  <c r="E353" i="8"/>
  <c r="E352" i="8"/>
  <c r="P352" i="8"/>
  <c r="O351" i="8"/>
  <c r="J351" i="8"/>
  <c r="J313" i="8"/>
  <c r="P313" i="8"/>
  <c r="O350" i="8"/>
  <c r="J350" i="8"/>
  <c r="E350" i="8"/>
  <c r="P350" i="8"/>
  <c r="E349" i="8"/>
  <c r="O348" i="8"/>
  <c r="J348" i="8"/>
  <c r="E348" i="8"/>
  <c r="P348" i="8"/>
  <c r="N347" i="8"/>
  <c r="M347" i="8"/>
  <c r="M326" i="8"/>
  <c r="M345" i="8"/>
  <c r="M339" i="8"/>
  <c r="L347" i="8"/>
  <c r="J347" i="8"/>
  <c r="I347" i="8"/>
  <c r="H347" i="8"/>
  <c r="G347" i="8"/>
  <c r="F347" i="8"/>
  <c r="O346" i="8"/>
  <c r="J346" i="8"/>
  <c r="E346" i="8"/>
  <c r="E345" i="8"/>
  <c r="N345" i="8"/>
  <c r="L345" i="8"/>
  <c r="I345" i="8"/>
  <c r="H345" i="8"/>
  <c r="G345" i="8"/>
  <c r="F345" i="8"/>
  <c r="E344" i="8"/>
  <c r="E343" i="8"/>
  <c r="O342" i="8"/>
  <c r="J342" i="8"/>
  <c r="E342" i="8"/>
  <c r="P342" i="8"/>
  <c r="O341" i="8"/>
  <c r="J341" i="8"/>
  <c r="P341" i="8"/>
  <c r="O340" i="8"/>
  <c r="O339" i="8"/>
  <c r="N339" i="8"/>
  <c r="L339" i="8"/>
  <c r="J339" i="8"/>
  <c r="E339" i="8"/>
  <c r="P339" i="8"/>
  <c r="E338" i="8"/>
  <c r="O336" i="8"/>
  <c r="J336" i="8"/>
  <c r="O320" i="8"/>
  <c r="J320" i="8"/>
  <c r="O321" i="8"/>
  <c r="J321" i="8"/>
  <c r="P321" i="8"/>
  <c r="J323" i="8"/>
  <c r="L326" i="8"/>
  <c r="O326" i="8"/>
  <c r="J326" i="8"/>
  <c r="O328" i="8"/>
  <c r="J328" i="8"/>
  <c r="P328" i="8"/>
  <c r="O329" i="8"/>
  <c r="J329" i="8"/>
  <c r="P329" i="8"/>
  <c r="E328" i="8"/>
  <c r="O327" i="8"/>
  <c r="J327" i="8"/>
  <c r="E327" i="8"/>
  <c r="N326" i="8"/>
  <c r="I326" i="8"/>
  <c r="H326" i="8"/>
  <c r="G326" i="8"/>
  <c r="F326" i="8"/>
  <c r="E325" i="8"/>
  <c r="O324" i="8"/>
  <c r="J324" i="8"/>
  <c r="P324" i="8"/>
  <c r="E323" i="8"/>
  <c r="E321" i="8"/>
  <c r="E320" i="8"/>
  <c r="P320" i="8"/>
  <c r="O319" i="8"/>
  <c r="E318" i="8"/>
  <c r="E317" i="8"/>
  <c r="P317" i="8"/>
  <c r="O234" i="8"/>
  <c r="J234" i="8"/>
  <c r="K237" i="8"/>
  <c r="O229" i="8"/>
  <c r="J229" i="8"/>
  <c r="K240" i="8"/>
  <c r="K239" i="8"/>
  <c r="K263" i="8"/>
  <c r="O263" i="8"/>
  <c r="J263" i="8"/>
  <c r="K266" i="8"/>
  <c r="O266" i="8"/>
  <c r="E314" i="8"/>
  <c r="P314" i="8"/>
  <c r="N311" i="8"/>
  <c r="M311" i="8"/>
  <c r="L311" i="8"/>
  <c r="K311" i="8"/>
  <c r="N309" i="8"/>
  <c r="M309" i="8"/>
  <c r="L309" i="8"/>
  <c r="K309" i="8"/>
  <c r="N308" i="8"/>
  <c r="M308" i="8"/>
  <c r="L308" i="8"/>
  <c r="K308" i="8"/>
  <c r="K307" i="8"/>
  <c r="O307" i="8"/>
  <c r="J307" i="8"/>
  <c r="P307" i="8"/>
  <c r="J305" i="8"/>
  <c r="E305" i="8"/>
  <c r="P305" i="8"/>
  <c r="J304" i="8"/>
  <c r="E304" i="8"/>
  <c r="E369" i="8"/>
  <c r="P369" i="8"/>
  <c r="O303" i="8"/>
  <c r="J303" i="8"/>
  <c r="P303" i="8"/>
  <c r="O302" i="8"/>
  <c r="J302" i="8"/>
  <c r="P302" i="8"/>
  <c r="O368" i="8"/>
  <c r="J368" i="8"/>
  <c r="P368" i="8"/>
  <c r="O301" i="8"/>
  <c r="J301" i="8"/>
  <c r="E301" i="8"/>
  <c r="P301" i="8"/>
  <c r="E300" i="8"/>
  <c r="P300" i="8"/>
  <c r="O299" i="8"/>
  <c r="J299" i="8"/>
  <c r="E299" i="8"/>
  <c r="O298" i="8"/>
  <c r="J298" i="8"/>
  <c r="O297" i="8"/>
  <c r="J297" i="8"/>
  <c r="O280" i="8"/>
  <c r="J280" i="8"/>
  <c r="P280" i="8"/>
  <c r="O281" i="8"/>
  <c r="J281" i="8"/>
  <c r="O291" i="8"/>
  <c r="J291" i="8"/>
  <c r="O287" i="8"/>
  <c r="J287" i="8"/>
  <c r="O294" i="8"/>
  <c r="J294" i="8"/>
  <c r="O293" i="8"/>
  <c r="J293" i="8"/>
  <c r="O289" i="8"/>
  <c r="J289" i="8"/>
  <c r="O282" i="8"/>
  <c r="J282" i="8"/>
  <c r="N297" i="8"/>
  <c r="I297" i="8"/>
  <c r="E337" i="8"/>
  <c r="O295" i="8"/>
  <c r="J295" i="8"/>
  <c r="E295" i="8"/>
  <c r="N294" i="8"/>
  <c r="I294" i="8"/>
  <c r="E294" i="8"/>
  <c r="E293" i="8"/>
  <c r="P293" i="8"/>
  <c r="E292" i="8"/>
  <c r="P292" i="8"/>
  <c r="E291" i="8"/>
  <c r="P291" i="8"/>
  <c r="E289" i="8"/>
  <c r="O288" i="8"/>
  <c r="J288" i="8"/>
  <c r="P288" i="8"/>
  <c r="E288" i="8"/>
  <c r="E287" i="8"/>
  <c r="P287" i="8"/>
  <c r="E333" i="8"/>
  <c r="O286" i="8"/>
  <c r="J286" i="8"/>
  <c r="E286" i="8"/>
  <c r="O285" i="8"/>
  <c r="J285" i="8"/>
  <c r="E285" i="8"/>
  <c r="O284" i="8"/>
  <c r="J284" i="8"/>
  <c r="E284" i="8"/>
  <c r="P284" i="8"/>
  <c r="O283" i="8"/>
  <c r="J283" i="8"/>
  <c r="P283" i="8"/>
  <c r="E282" i="8"/>
  <c r="P282" i="8"/>
  <c r="N281" i="8"/>
  <c r="N278" i="8"/>
  <c r="N276" i="8"/>
  <c r="M278" i="8"/>
  <c r="M276" i="8"/>
  <c r="L278" i="8"/>
  <c r="L276" i="8"/>
  <c r="I281" i="8"/>
  <c r="E281" i="8"/>
  <c r="P281" i="8"/>
  <c r="E280" i="8"/>
  <c r="H278" i="8"/>
  <c r="H276" i="8"/>
  <c r="K277" i="8"/>
  <c r="F277" i="8"/>
  <c r="E277" i="8"/>
  <c r="J275" i="8"/>
  <c r="O274" i="8"/>
  <c r="J274" i="8"/>
  <c r="I273" i="8"/>
  <c r="O271" i="8"/>
  <c r="J271" i="8"/>
  <c r="I271" i="8"/>
  <c r="N268" i="8"/>
  <c r="M268" i="8"/>
  <c r="M263" i="8"/>
  <c r="M266" i="8"/>
  <c r="L268" i="8"/>
  <c r="I268" i="8"/>
  <c r="E268" i="8"/>
  <c r="P268" i="8"/>
  <c r="O267" i="8"/>
  <c r="J267" i="8"/>
  <c r="N266" i="8"/>
  <c r="L266" i="8"/>
  <c r="I266" i="8"/>
  <c r="E266" i="8"/>
  <c r="O265" i="8"/>
  <c r="J265" i="8"/>
  <c r="E265" i="8"/>
  <c r="P265" i="8"/>
  <c r="O264" i="8"/>
  <c r="J264" i="8"/>
  <c r="P264" i="8"/>
  <c r="N263" i="8"/>
  <c r="N260" i="8"/>
  <c r="N259" i="8"/>
  <c r="L263" i="8"/>
  <c r="I263" i="8"/>
  <c r="E263" i="8"/>
  <c r="O251" i="8"/>
  <c r="J251" i="8"/>
  <c r="E251" i="8"/>
  <c r="O262" i="8"/>
  <c r="J262" i="8"/>
  <c r="E262" i="8"/>
  <c r="P262" i="8"/>
  <c r="O261" i="8"/>
  <c r="J261" i="8"/>
  <c r="P261" i="8"/>
  <c r="I260" i="8"/>
  <c r="I259" i="8"/>
  <c r="O258" i="8"/>
  <c r="J258" i="8"/>
  <c r="P258" i="8"/>
  <c r="E258" i="8"/>
  <c r="O257" i="8"/>
  <c r="J257" i="8"/>
  <c r="P257" i="8"/>
  <c r="O256" i="8"/>
  <c r="J256" i="8"/>
  <c r="I256" i="8"/>
  <c r="I247" i="8"/>
  <c r="I245" i="8"/>
  <c r="O254" i="8"/>
  <c r="J254" i="8"/>
  <c r="P254" i="8"/>
  <c r="O250" i="8"/>
  <c r="O246" i="8"/>
  <c r="O249" i="8"/>
  <c r="J249" i="8"/>
  <c r="N247" i="8"/>
  <c r="N245" i="8"/>
  <c r="M247" i="8"/>
  <c r="M245" i="8"/>
  <c r="L247" i="8"/>
  <c r="L245" i="8"/>
  <c r="N246" i="8"/>
  <c r="M246" i="8"/>
  <c r="L246" i="8"/>
  <c r="K246" i="8"/>
  <c r="E244" i="8"/>
  <c r="P244" i="8"/>
  <c r="N243" i="8"/>
  <c r="N240" i="8"/>
  <c r="N239" i="8"/>
  <c r="N129" i="8"/>
  <c r="N144" i="8"/>
  <c r="N103" i="8"/>
  <c r="N94" i="8"/>
  <c r="M243" i="8"/>
  <c r="M240" i="8"/>
  <c r="M239" i="8"/>
  <c r="M103" i="8"/>
  <c r="M94" i="8"/>
  <c r="L243" i="8"/>
  <c r="J243" i="8"/>
  <c r="I243" i="8"/>
  <c r="I240" i="8"/>
  <c r="I239" i="8"/>
  <c r="I103" i="8"/>
  <c r="I94" i="8"/>
  <c r="O242" i="8"/>
  <c r="J242" i="8"/>
  <c r="O241" i="8"/>
  <c r="J238" i="8"/>
  <c r="J237" i="8"/>
  <c r="E238" i="8"/>
  <c r="E237" i="8"/>
  <c r="P237" i="8"/>
  <c r="O237" i="8"/>
  <c r="N237" i="8"/>
  <c r="M237" i="8"/>
  <c r="L237" i="8"/>
  <c r="I237" i="8"/>
  <c r="E235" i="8"/>
  <c r="P235" i="8"/>
  <c r="O236" i="8"/>
  <c r="J236" i="8"/>
  <c r="E234" i="8"/>
  <c r="E233" i="8"/>
  <c r="P233" i="8"/>
  <c r="E232" i="8"/>
  <c r="P232" i="8"/>
  <c r="O231" i="8"/>
  <c r="J231" i="8"/>
  <c r="E231" i="8"/>
  <c r="E230" i="8"/>
  <c r="E229" i="8"/>
  <c r="P229" i="8"/>
  <c r="J228" i="8"/>
  <c r="E228" i="8"/>
  <c r="P228" i="8"/>
  <c r="J227" i="8"/>
  <c r="E227" i="8"/>
  <c r="P227" i="8"/>
  <c r="O226" i="8"/>
  <c r="O225" i="8"/>
  <c r="E226" i="8"/>
  <c r="E225" i="8"/>
  <c r="I225" i="8"/>
  <c r="J224" i="8"/>
  <c r="E224" i="8"/>
  <c r="P224" i="8"/>
  <c r="O223" i="8"/>
  <c r="J223" i="8"/>
  <c r="I223" i="8"/>
  <c r="P222" i="8"/>
  <c r="J221" i="8"/>
  <c r="E221" i="8"/>
  <c r="P221" i="8"/>
  <c r="J220" i="8"/>
  <c r="P220" i="8"/>
  <c r="E220" i="8"/>
  <c r="J219" i="8"/>
  <c r="E219" i="8"/>
  <c r="P219" i="8"/>
  <c r="O218" i="8"/>
  <c r="J218" i="8"/>
  <c r="I218" i="8"/>
  <c r="E218" i="8"/>
  <c r="P218" i="8"/>
  <c r="J217" i="8"/>
  <c r="E217" i="8"/>
  <c r="P217" i="8"/>
  <c r="O216" i="8"/>
  <c r="E215" i="8"/>
  <c r="O214" i="8"/>
  <c r="J214" i="8"/>
  <c r="E214" i="8"/>
  <c r="P214" i="8"/>
  <c r="O213" i="8"/>
  <c r="J213" i="8"/>
  <c r="E212" i="8"/>
  <c r="P212" i="8"/>
  <c r="E211" i="8"/>
  <c r="P211" i="8"/>
  <c r="I210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199" i="8"/>
  <c r="P199" i="8"/>
  <c r="E198" i="8"/>
  <c r="P198" i="8"/>
  <c r="J197" i="8"/>
  <c r="E197" i="8"/>
  <c r="P197" i="8"/>
  <c r="J196" i="8"/>
  <c r="J195" i="8"/>
  <c r="P195" i="8"/>
  <c r="E195" i="8"/>
  <c r="J194" i="8"/>
  <c r="J193" i="8"/>
  <c r="E193" i="8"/>
  <c r="J192" i="8"/>
  <c r="E192" i="8"/>
  <c r="P192" i="8"/>
  <c r="J191" i="8"/>
  <c r="E191" i="8"/>
  <c r="P191" i="8"/>
  <c r="J190" i="8"/>
  <c r="E190" i="8"/>
  <c r="P190" i="8"/>
  <c r="J189" i="8"/>
  <c r="E189" i="8"/>
  <c r="J188" i="8"/>
  <c r="E188" i="8"/>
  <c r="P188" i="8"/>
  <c r="J187" i="8"/>
  <c r="E187" i="8"/>
  <c r="P187" i="8"/>
  <c r="J186" i="8"/>
  <c r="E186" i="8"/>
  <c r="J185" i="8"/>
  <c r="E185" i="8"/>
  <c r="J184" i="8"/>
  <c r="E184" i="8"/>
  <c r="P184" i="8"/>
  <c r="J183" i="8"/>
  <c r="E183" i="8"/>
  <c r="J182" i="8"/>
  <c r="E182" i="8"/>
  <c r="J181" i="8"/>
  <c r="E181" i="8"/>
  <c r="P181" i="8"/>
  <c r="J180" i="8"/>
  <c r="E180" i="8"/>
  <c r="P180" i="8"/>
  <c r="J179" i="8"/>
  <c r="E179" i="8"/>
  <c r="J178" i="8"/>
  <c r="E178" i="8"/>
  <c r="P178" i="8"/>
  <c r="O177" i="8"/>
  <c r="J177" i="8"/>
  <c r="I177" i="8"/>
  <c r="E177" i="8"/>
  <c r="P177" i="8"/>
  <c r="J176" i="8"/>
  <c r="E176" i="8"/>
  <c r="J175" i="8"/>
  <c r="E175" i="8"/>
  <c r="J174" i="8"/>
  <c r="E174" i="8"/>
  <c r="P174" i="8"/>
  <c r="J173" i="8"/>
  <c r="E173" i="8"/>
  <c r="O172" i="8"/>
  <c r="I172" i="8"/>
  <c r="O171" i="8"/>
  <c r="J171" i="8"/>
  <c r="I171" i="8"/>
  <c r="E171" i="8"/>
  <c r="P171" i="8"/>
  <c r="J170" i="8"/>
  <c r="E170" i="8"/>
  <c r="J169" i="8"/>
  <c r="P169" i="8"/>
  <c r="E169" i="8"/>
  <c r="J168" i="8"/>
  <c r="E168" i="8"/>
  <c r="J167" i="8"/>
  <c r="E167" i="8"/>
  <c r="J166" i="8"/>
  <c r="E166" i="8"/>
  <c r="J165" i="8"/>
  <c r="E165" i="8"/>
  <c r="P165" i="8"/>
  <c r="J164" i="8"/>
  <c r="E164" i="8"/>
  <c r="P164" i="8"/>
  <c r="O163" i="8"/>
  <c r="J163" i="8"/>
  <c r="I163" i="8"/>
  <c r="E163" i="8"/>
  <c r="P163" i="8"/>
  <c r="J162" i="8"/>
  <c r="E162" i="8"/>
  <c r="P162" i="8"/>
  <c r="J161" i="8"/>
  <c r="E161" i="8"/>
  <c r="P161" i="8"/>
  <c r="J160" i="8"/>
  <c r="E160" i="8"/>
  <c r="P160" i="8"/>
  <c r="J159" i="8"/>
  <c r="J156" i="8"/>
  <c r="E159" i="8"/>
  <c r="P159" i="8"/>
  <c r="J158" i="8"/>
  <c r="E158" i="8"/>
  <c r="J157" i="8"/>
  <c r="E157" i="8"/>
  <c r="P157" i="8"/>
  <c r="O156" i="8"/>
  <c r="I156" i="8"/>
  <c r="E156" i="8"/>
  <c r="P156" i="8"/>
  <c r="O155" i="8"/>
  <c r="J155" i="8"/>
  <c r="P155" i="8"/>
  <c r="F153" i="8"/>
  <c r="O151" i="8"/>
  <c r="J151" i="8"/>
  <c r="P151" i="8"/>
  <c r="E151" i="8"/>
  <c r="O150" i="8"/>
  <c r="J150" i="8"/>
  <c r="P150" i="8"/>
  <c r="E150" i="8"/>
  <c r="E149" i="8"/>
  <c r="P149" i="8"/>
  <c r="O146" i="8"/>
  <c r="E97" i="8"/>
  <c r="O142" i="8"/>
  <c r="J142" i="8"/>
  <c r="E142" i="8"/>
  <c r="P142" i="8"/>
  <c r="O141" i="8"/>
  <c r="J141" i="8"/>
  <c r="E141" i="8"/>
  <c r="P141" i="8"/>
  <c r="O140" i="8"/>
  <c r="J140" i="8"/>
  <c r="P137" i="8"/>
  <c r="E136" i="8"/>
  <c r="P136" i="8"/>
  <c r="O135" i="8"/>
  <c r="J135" i="8"/>
  <c r="E135" i="8"/>
  <c r="P135" i="8"/>
  <c r="O131" i="8"/>
  <c r="J131" i="8"/>
  <c r="O130" i="8"/>
  <c r="J130" i="8"/>
  <c r="E130" i="8"/>
  <c r="P130" i="8"/>
  <c r="O128" i="8"/>
  <c r="J128" i="8"/>
  <c r="E128" i="8"/>
  <c r="O127" i="8"/>
  <c r="J127" i="8"/>
  <c r="E127" i="8"/>
  <c r="P127" i="8"/>
  <c r="O126" i="8"/>
  <c r="J126" i="8"/>
  <c r="E126" i="8"/>
  <c r="P126" i="8"/>
  <c r="O125" i="8"/>
  <c r="J125" i="8"/>
  <c r="E125" i="8"/>
  <c r="O124" i="8"/>
  <c r="J124" i="8"/>
  <c r="E124" i="8"/>
  <c r="P124" i="8"/>
  <c r="O123" i="8"/>
  <c r="J123" i="8"/>
  <c r="P123" i="8"/>
  <c r="E123" i="8"/>
  <c r="O122" i="8"/>
  <c r="J122" i="8"/>
  <c r="P122" i="8"/>
  <c r="N121" i="8"/>
  <c r="E120" i="8"/>
  <c r="P120" i="8"/>
  <c r="O119" i="8"/>
  <c r="J119" i="8"/>
  <c r="E119" i="8"/>
  <c r="P119" i="8"/>
  <c r="O118" i="8"/>
  <c r="J118" i="8"/>
  <c r="E118" i="8"/>
  <c r="P118" i="8"/>
  <c r="E116" i="8"/>
  <c r="P116" i="8"/>
  <c r="O115" i="8"/>
  <c r="J115" i="8"/>
  <c r="P115" i="8"/>
  <c r="O114" i="8"/>
  <c r="J114" i="8"/>
  <c r="E114" i="8"/>
  <c r="P114" i="8"/>
  <c r="O113" i="8"/>
  <c r="J113" i="8"/>
  <c r="E113" i="8"/>
  <c r="O112" i="8"/>
  <c r="J112" i="8"/>
  <c r="E112" i="8"/>
  <c r="P112" i="8"/>
  <c r="O111" i="8"/>
  <c r="J111" i="8"/>
  <c r="P111" i="8"/>
  <c r="E110" i="8"/>
  <c r="P110" i="8"/>
  <c r="O109" i="8"/>
  <c r="J109" i="8"/>
  <c r="E109" i="8"/>
  <c r="P109" i="8"/>
  <c r="O108" i="8"/>
  <c r="J108" i="8"/>
  <c r="P108" i="8"/>
  <c r="O107" i="8"/>
  <c r="J107" i="8"/>
  <c r="E107" i="8"/>
  <c r="O106" i="8"/>
  <c r="J106" i="8"/>
  <c r="E106" i="8"/>
  <c r="H103" i="8"/>
  <c r="H94" i="8"/>
  <c r="K102" i="8"/>
  <c r="O102" i="8"/>
  <c r="J102" i="8"/>
  <c r="P102" i="8"/>
  <c r="J101" i="8"/>
  <c r="E99" i="8"/>
  <c r="P99" i="8"/>
  <c r="K98" i="8"/>
  <c r="J98" i="8"/>
  <c r="I98" i="8"/>
  <c r="H98" i="8"/>
  <c r="G98" i="8"/>
  <c r="F98" i="8"/>
  <c r="K97" i="8"/>
  <c r="K96" i="8"/>
  <c r="O96" i="8"/>
  <c r="J96" i="8"/>
  <c r="F96" i="8"/>
  <c r="E96" i="8"/>
  <c r="P96" i="8"/>
  <c r="N95" i="8"/>
  <c r="M95" i="8"/>
  <c r="L95" i="8"/>
  <c r="K95" i="8"/>
  <c r="I95" i="8"/>
  <c r="H95" i="8"/>
  <c r="G95" i="8"/>
  <c r="F95" i="8"/>
  <c r="E95" i="8"/>
  <c r="O90" i="8"/>
  <c r="O89" i="8"/>
  <c r="J89" i="8"/>
  <c r="O87" i="8"/>
  <c r="J87" i="8"/>
  <c r="O86" i="8"/>
  <c r="J86" i="8"/>
  <c r="P86" i="8"/>
  <c r="O83" i="8"/>
  <c r="J83" i="8"/>
  <c r="P83" i="8"/>
  <c r="O80" i="8"/>
  <c r="J80" i="8"/>
  <c r="O79" i="8"/>
  <c r="J79" i="8"/>
  <c r="P79" i="8"/>
  <c r="O78" i="8"/>
  <c r="J78" i="8"/>
  <c r="P78" i="8"/>
  <c r="O77" i="8"/>
  <c r="J77" i="8"/>
  <c r="P77" i="8"/>
  <c r="O76" i="8"/>
  <c r="J76" i="8"/>
  <c r="O75" i="8"/>
  <c r="J75" i="8"/>
  <c r="P75" i="8"/>
  <c r="O69" i="8"/>
  <c r="J69" i="8"/>
  <c r="P69" i="8"/>
  <c r="O67" i="8"/>
  <c r="J67" i="8"/>
  <c r="O65" i="8"/>
  <c r="J65" i="8"/>
  <c r="O64" i="8"/>
  <c r="J64" i="8"/>
  <c r="P64" i="8"/>
  <c r="O63" i="8"/>
  <c r="J63" i="8"/>
  <c r="P63" i="8"/>
  <c r="O62" i="8"/>
  <c r="J62" i="8"/>
  <c r="P62" i="8"/>
  <c r="O61" i="8"/>
  <c r="J61" i="8"/>
  <c r="O60" i="8"/>
  <c r="J60" i="8"/>
  <c r="P60" i="8"/>
  <c r="O59" i="8"/>
  <c r="J59" i="8"/>
  <c r="P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E41" i="8"/>
  <c r="P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P32" i="8"/>
  <c r="J31" i="8"/>
  <c r="P31" i="8"/>
  <c r="E31" i="8"/>
  <c r="E30" i="8"/>
  <c r="O29" i="8"/>
  <c r="J29" i="8"/>
  <c r="E29" i="8"/>
  <c r="P29" i="8"/>
  <c r="O28" i="8"/>
  <c r="J28" i="8"/>
  <c r="E28" i="8"/>
  <c r="P28" i="8"/>
  <c r="O27" i="8"/>
  <c r="J27" i="8"/>
  <c r="E27" i="8"/>
  <c r="P27" i="8"/>
  <c r="P26" i="8"/>
  <c r="P15" i="8"/>
  <c r="O25" i="8"/>
  <c r="J25" i="8"/>
  <c r="E25" i="8"/>
  <c r="O23" i="8"/>
  <c r="J23" i="8"/>
  <c r="E22" i="8"/>
  <c r="O21" i="8"/>
  <c r="O20" i="8"/>
  <c r="J20" i="8"/>
  <c r="P20" i="8"/>
  <c r="I16" i="8"/>
  <c r="I14" i="8"/>
  <c r="E20" i="8"/>
  <c r="E16" i="8"/>
  <c r="E14" i="8"/>
  <c r="J19" i="8"/>
  <c r="E19" i="8"/>
  <c r="J18" i="8"/>
  <c r="E18" i="8"/>
  <c r="P18" i="8"/>
  <c r="F15" i="8"/>
  <c r="E15" i="8"/>
  <c r="F391" i="8"/>
  <c r="F390" i="8"/>
  <c r="E194" i="8"/>
  <c r="P194" i="8"/>
  <c r="E200" i="8"/>
  <c r="P200" i="8"/>
  <c r="E196" i="8"/>
  <c r="P196" i="8"/>
  <c r="J314" i="8"/>
  <c r="M16" i="8"/>
  <c r="M14" i="8"/>
  <c r="O230" i="8"/>
  <c r="J230" i="8"/>
  <c r="P230" i="8"/>
  <c r="N16" i="8"/>
  <c r="N14" i="8"/>
  <c r="O22" i="8"/>
  <c r="N152" i="8"/>
  <c r="L152" i="8"/>
  <c r="P133" i="8"/>
  <c r="E241" i="8"/>
  <c r="E297" i="8"/>
  <c r="P297" i="8"/>
  <c r="E59" i="8"/>
  <c r="E104" i="8"/>
  <c r="G66" i="8"/>
  <c r="F66" i="8"/>
  <c r="F43" i="8"/>
  <c r="E43" i="8"/>
  <c r="P43" i="8"/>
  <c r="E66" i="8"/>
  <c r="P66" i="8"/>
  <c r="J91" i="8"/>
  <c r="J49" i="8"/>
  <c r="P49" i="8"/>
  <c r="P304" i="8"/>
  <c r="I278" i="8"/>
  <c r="I276" i="8"/>
  <c r="J382" i="8"/>
  <c r="P382" i="8"/>
  <c r="J394" i="8"/>
  <c r="P182" i="8"/>
  <c r="O309" i="8"/>
  <c r="I306" i="8"/>
  <c r="O349" i="8"/>
  <c r="J349" i="8"/>
  <c r="P349" i="8"/>
  <c r="K276" i="8"/>
  <c r="O352" i="8"/>
  <c r="J352" i="8"/>
  <c r="O347" i="8"/>
  <c r="O210" i="8"/>
  <c r="J210" i="8"/>
  <c r="O277" i="8"/>
  <c r="J277" i="8"/>
  <c r="P277" i="8"/>
  <c r="J250" i="8"/>
  <c r="P250" i="8"/>
  <c r="P246" i="8"/>
  <c r="J374" i="8"/>
  <c r="P374" i="8"/>
  <c r="P379" i="8"/>
  <c r="N375" i="8"/>
  <c r="N373" i="8"/>
  <c r="K16" i="8"/>
  <c r="K14" i="8"/>
  <c r="E134" i="8"/>
  <c r="P134" i="8"/>
  <c r="F101" i="8"/>
  <c r="E101" i="8"/>
  <c r="P101" i="8"/>
  <c r="E91" i="8"/>
  <c r="P91" i="8"/>
  <c r="O91" i="8"/>
  <c r="K49" i="8"/>
  <c r="O49" i="8"/>
  <c r="L16" i="8"/>
  <c r="L14" i="8"/>
  <c r="J37" i="8"/>
  <c r="P37" i="8"/>
  <c r="K247" i="8"/>
  <c r="K245" i="8"/>
  <c r="P186" i="8"/>
  <c r="F260" i="8"/>
  <c r="F259" i="8"/>
  <c r="P333" i="8"/>
  <c r="O215" i="8"/>
  <c r="J215" i="8"/>
  <c r="P215" i="8"/>
  <c r="J216" i="8"/>
  <c r="E243" i="8"/>
  <c r="P243" i="8"/>
  <c r="L260" i="8"/>
  <c r="L259" i="8"/>
  <c r="O98" i="8"/>
  <c r="O97" i="8"/>
  <c r="J97" i="8"/>
  <c r="P97" i="8"/>
  <c r="J146" i="8"/>
  <c r="P173" i="8"/>
  <c r="P172" i="8"/>
  <c r="F278" i="8"/>
  <c r="F276" i="8"/>
  <c r="E298" i="8"/>
  <c r="P298" i="8"/>
  <c r="F154" i="8"/>
  <c r="F152" i="8"/>
  <c r="F397" i="8"/>
  <c r="O388" i="8"/>
  <c r="O387" i="8"/>
  <c r="J389" i="8"/>
  <c r="J388" i="8"/>
  <c r="J387" i="8"/>
  <c r="J311" i="8"/>
  <c r="P311" i="8"/>
  <c r="P167" i="8"/>
  <c r="P179" i="8"/>
  <c r="P183" i="8"/>
  <c r="P193" i="8"/>
  <c r="P286" i="8"/>
  <c r="P364" i="8"/>
  <c r="P272" i="8"/>
  <c r="I154" i="8"/>
  <c r="E223" i="8"/>
  <c r="P223" i="8"/>
  <c r="O308" i="8"/>
  <c r="J340" i="8"/>
  <c r="J308" i="8"/>
  <c r="P308" i="8"/>
  <c r="E248" i="8"/>
  <c r="P248" i="8"/>
  <c r="O269" i="8"/>
  <c r="J269" i="8"/>
  <c r="J260" i="8"/>
  <c r="J259" i="8"/>
  <c r="K268" i="8"/>
  <c r="O268" i="8"/>
  <c r="J268" i="8"/>
  <c r="J226" i="8"/>
  <c r="P226" i="8"/>
  <c r="P251" i="8"/>
  <c r="J385" i="8"/>
  <c r="H51" i="8"/>
  <c r="H42" i="8"/>
  <c r="H397" i="8"/>
  <c r="H260" i="8"/>
  <c r="H259" i="8"/>
  <c r="P323" i="8"/>
  <c r="P90" i="8"/>
  <c r="J15" i="8"/>
  <c r="O100" i="8"/>
  <c r="P166" i="8"/>
  <c r="P185" i="8"/>
  <c r="P290" i="8"/>
  <c r="P158" i="8"/>
  <c r="I152" i="8"/>
  <c r="E50" i="8"/>
  <c r="P50" i="8"/>
  <c r="P275" i="8"/>
  <c r="O273" i="8"/>
  <c r="P189" i="8"/>
  <c r="O311" i="8"/>
  <c r="J273" i="8"/>
  <c r="O57" i="8"/>
  <c r="J57" i="8"/>
  <c r="P57" i="8"/>
  <c r="K103" i="8"/>
  <c r="K94" i="8"/>
  <c r="O105" i="8"/>
  <c r="J105" i="8"/>
  <c r="P394" i="8"/>
  <c r="K260" i="8"/>
  <c r="K259" i="8"/>
  <c r="J21" i="8"/>
  <c r="P21" i="8"/>
  <c r="E260" i="8"/>
  <c r="E259" i="8"/>
  <c r="E278" i="8"/>
  <c r="E276" i="8"/>
  <c r="P145" i="8"/>
  <c r="J246" i="8"/>
  <c r="O345" i="8"/>
  <c r="J345" i="8"/>
  <c r="E98" i="8"/>
  <c r="P98" i="8"/>
  <c r="P113" i="8"/>
  <c r="J172" i="8"/>
  <c r="P176" i="8"/>
  <c r="E347" i="8"/>
  <c r="P347" i="8"/>
  <c r="P271" i="8"/>
  <c r="P121" i="8"/>
  <c r="P346" i="8"/>
  <c r="E131" i="8"/>
  <c r="P131" i="8"/>
  <c r="P175" i="8"/>
  <c r="P117" i="8"/>
  <c r="E316" i="8"/>
  <c r="J144" i="8"/>
  <c r="O144" i="8"/>
  <c r="P144" i="8"/>
  <c r="O16" i="8"/>
  <c r="O14" i="8"/>
  <c r="J17" i="8"/>
  <c r="P17" i="8"/>
  <c r="J316" i="8"/>
  <c r="P125" i="8"/>
  <c r="P359" i="8"/>
  <c r="J319" i="8"/>
  <c r="P319" i="8"/>
  <c r="P372" i="8"/>
  <c r="E335" i="8"/>
  <c r="P335" i="8"/>
  <c r="O357" i="8"/>
  <c r="J357" i="8"/>
  <c r="P234" i="8"/>
  <c r="O260" i="8"/>
  <c r="O259" i="8"/>
  <c r="P25" i="8"/>
  <c r="P107" i="8"/>
  <c r="J154" i="8"/>
  <c r="J152" i="8"/>
  <c r="P316" i="8"/>
  <c r="O240" i="8"/>
  <c r="O239" i="8"/>
  <c r="J241" i="8"/>
  <c r="P343" i="8"/>
  <c r="O310" i="8"/>
  <c r="J356" i="8"/>
  <c r="J310" i="8"/>
  <c r="E336" i="8"/>
  <c r="F315" i="8"/>
  <c r="F306" i="8"/>
  <c r="O154" i="8"/>
  <c r="O152" i="8"/>
  <c r="O95" i="8"/>
  <c r="J225" i="8"/>
  <c r="P225" i="8"/>
  <c r="P19" i="8"/>
  <c r="P67" i="8"/>
  <c r="P168" i="8"/>
  <c r="J266" i="8"/>
  <c r="P266" i="8"/>
  <c r="E326" i="8"/>
  <c r="P326" i="8"/>
  <c r="P376" i="8"/>
  <c r="P56" i="8"/>
  <c r="P242" i="8"/>
  <c r="G51" i="8"/>
  <c r="G42" i="8"/>
  <c r="G397" i="8"/>
  <c r="J44" i="8"/>
  <c r="P65" i="8"/>
  <c r="P61" i="8"/>
  <c r="P39" i="8"/>
  <c r="P105" i="8"/>
  <c r="K51" i="8"/>
  <c r="K42" i="8"/>
  <c r="L51" i="8"/>
  <c r="L42" i="8"/>
  <c r="P76" i="8"/>
  <c r="P71" i="8"/>
  <c r="P70" i="8"/>
  <c r="P88" i="8"/>
  <c r="P80" i="8"/>
  <c r="E49" i="8"/>
  <c r="O338" i="8"/>
  <c r="J338" i="8"/>
  <c r="P338" i="8"/>
  <c r="P87" i="8"/>
  <c r="K391" i="8"/>
  <c r="K390" i="8"/>
  <c r="E247" i="8"/>
  <c r="P241" i="8"/>
  <c r="J240" i="8"/>
  <c r="J239" i="8"/>
  <c r="P336" i="8"/>
  <c r="P356" i="8"/>
  <c r="P310" i="8"/>
  <c r="E245" i="8"/>
  <c r="P337" i="8"/>
  <c r="O315" i="8"/>
  <c r="O306" i="8"/>
  <c r="O397" i="8"/>
  <c r="P357" i="8"/>
  <c r="P92" i="8"/>
  <c r="E391" i="8"/>
  <c r="E390" i="8"/>
  <c r="P390" i="8"/>
  <c r="J391" i="8"/>
  <c r="J390" i="8"/>
  <c r="P396" i="8"/>
  <c r="P255" i="8"/>
  <c r="J247" i="8"/>
  <c r="J245" i="8"/>
  <c r="P245" i="8"/>
  <c r="P247" i="8"/>
  <c r="E315" i="8"/>
  <c r="P53" i="8"/>
  <c r="E51" i="8"/>
  <c r="E42" i="8"/>
  <c r="P386" i="8"/>
  <c r="P385" i="8"/>
  <c r="E306" i="8"/>
  <c r="P52" i="8"/>
  <c r="J51" i="8"/>
  <c r="J42" i="8"/>
  <c r="P89" i="8"/>
  <c r="P48" i="8"/>
  <c r="J48" i="8"/>
  <c r="P240" i="8"/>
  <c r="P16" i="8"/>
  <c r="P14" i="8"/>
  <c r="I397" i="8"/>
  <c r="J22" i="8"/>
  <c r="P22" i="8"/>
  <c r="P23" i="8"/>
  <c r="P33" i="8"/>
  <c r="P106" i="8"/>
  <c r="J95" i="8"/>
  <c r="P95" i="8"/>
  <c r="N397" i="8"/>
  <c r="J381" i="8"/>
  <c r="P378" i="8"/>
  <c r="P140" i="8"/>
  <c r="P103" i="8"/>
  <c r="E103" i="8"/>
  <c r="E94" i="8"/>
  <c r="O391" i="8"/>
  <c r="O390" i="8"/>
  <c r="E240" i="8"/>
  <c r="E239" i="8"/>
  <c r="P239" i="8"/>
  <c r="P345" i="8"/>
  <c r="P252" i="8"/>
  <c r="P392" i="8"/>
  <c r="K315" i="8"/>
  <c r="K306" i="8"/>
  <c r="K397" i="8"/>
  <c r="K403" i="8"/>
  <c r="K405" i="8"/>
  <c r="K407" i="8"/>
  <c r="J16" i="8"/>
  <c r="J14" i="8"/>
  <c r="P351" i="8"/>
  <c r="J309" i="8"/>
  <c r="P309" i="8"/>
  <c r="E153" i="8"/>
  <c r="P153" i="8"/>
  <c r="O247" i="8"/>
  <c r="O245" i="8"/>
  <c r="O48" i="8"/>
  <c r="L240" i="8"/>
  <c r="L239" i="8"/>
  <c r="L397" i="8"/>
  <c r="P238" i="8"/>
  <c r="P389" i="8"/>
  <c r="P388" i="8"/>
  <c r="P387" i="8"/>
  <c r="O103" i="8"/>
  <c r="O94" i="8"/>
  <c r="O51" i="8"/>
  <c r="O42" i="8"/>
  <c r="J103" i="8"/>
  <c r="J94" i="8"/>
  <c r="P269" i="8"/>
  <c r="P260" i="8"/>
  <c r="P259" i="8"/>
  <c r="J279" i="8"/>
  <c r="O30" i="8"/>
  <c r="P274" i="8"/>
  <c r="P340" i="8"/>
  <c r="F103" i="8"/>
  <c r="F94" i="8"/>
  <c r="O381" i="8"/>
  <c r="E256" i="8"/>
  <c r="P256" i="8"/>
  <c r="J312" i="8"/>
  <c r="P312" i="8"/>
  <c r="P128" i="8"/>
  <c r="P170" i="8"/>
  <c r="E172" i="8"/>
  <c r="P231" i="8"/>
  <c r="P263" i="8"/>
  <c r="M260" i="8"/>
  <c r="M259" i="8"/>
  <c r="M397" i="8"/>
  <c r="P285" i="8"/>
  <c r="P289" i="8"/>
  <c r="P294" i="8"/>
  <c r="P299" i="8"/>
  <c r="P327" i="8"/>
  <c r="P353" i="8"/>
  <c r="P380" i="8"/>
  <c r="P375" i="8"/>
  <c r="O375" i="8"/>
  <c r="O373" i="8"/>
  <c r="F16" i="8"/>
  <c r="F14" i="8"/>
  <c r="F51" i="8"/>
  <c r="F42" i="8"/>
  <c r="P361" i="8"/>
  <c r="P391" i="8"/>
  <c r="P51" i="8"/>
  <c r="P42" i="8"/>
  <c r="O40" i="8"/>
  <c r="J40" i="8"/>
  <c r="P40" i="8"/>
  <c r="J30" i="8"/>
  <c r="P30" i="8"/>
  <c r="P279" i="8"/>
  <c r="P278" i="8"/>
  <c r="J278" i="8"/>
  <c r="J276" i="8"/>
  <c r="P276" i="8"/>
  <c r="P94" i="8"/>
  <c r="P381" i="8"/>
  <c r="J375" i="8"/>
  <c r="J373" i="8"/>
  <c r="P373" i="8"/>
  <c r="E154" i="8"/>
  <c r="P154" i="8"/>
  <c r="P152" i="8"/>
  <c r="E152" i="8"/>
  <c r="E397" i="8"/>
  <c r="E411" i="8"/>
  <c r="E410" i="8"/>
  <c r="E403" i="8"/>
  <c r="E405" i="8"/>
  <c r="E407" i="8"/>
  <c r="J315" i="8"/>
  <c r="P315" i="8"/>
  <c r="J306" i="8"/>
  <c r="P306" i="8"/>
  <c r="P397" i="8"/>
  <c r="P403" i="8"/>
  <c r="P405" i="8"/>
  <c r="P407" i="8"/>
  <c r="J397" i="8"/>
  <c r="J403" i="8"/>
  <c r="J405" i="8"/>
  <c r="J407" i="8"/>
</calcChain>
</file>

<file path=xl/sharedStrings.xml><?xml version="1.0" encoding="utf-8"?>
<sst xmlns="http://schemas.openxmlformats.org/spreadsheetml/2006/main" count="1037" uniqueCount="683">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</sst>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3"/>
  <sheetViews>
    <sheetView tabSelected="1" topLeftCell="A9" zoomScaleNormal="100" zoomScaleSheetLayoutView="100" workbookViewId="0">
      <pane xSplit="4" ySplit="5" topLeftCell="E238" activePane="bottomRight" state="frozen"/>
      <selection activeCell="A9" sqref="A9"/>
      <selection pane="topRight" activeCell="E9" sqref="E9"/>
      <selection pane="bottomLeft" activeCell="A14" sqref="A14"/>
      <selection pane="bottomRight" activeCell="A402" sqref="A402:IV4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534</v>
      </c>
      <c r="P1" s="49"/>
    </row>
    <row r="2" spans="1:18" ht="24" customHeight="1" x14ac:dyDescent="0.2">
      <c r="C2" s="50"/>
      <c r="N2" s="116" t="s">
        <v>107</v>
      </c>
      <c r="O2" s="116"/>
      <c r="P2" s="116"/>
    </row>
    <row r="3" spans="1:18" x14ac:dyDescent="0.2">
      <c r="C3" s="51"/>
      <c r="N3" s="52" t="s">
        <v>535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610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603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582</v>
      </c>
    </row>
    <row r="8" spans="1:18" x14ac:dyDescent="0.2">
      <c r="C8" s="56"/>
      <c r="P8" s="57" t="s">
        <v>581</v>
      </c>
    </row>
    <row r="9" spans="1:18" ht="15" x14ac:dyDescent="0.25">
      <c r="A9" s="110" t="s">
        <v>537</v>
      </c>
      <c r="B9" s="111" t="s">
        <v>538</v>
      </c>
      <c r="C9" s="112" t="s">
        <v>539</v>
      </c>
      <c r="D9" s="113" t="s">
        <v>540</v>
      </c>
      <c r="E9" s="118" t="s">
        <v>120</v>
      </c>
      <c r="F9" s="118"/>
      <c r="G9" s="118"/>
      <c r="H9" s="118"/>
      <c r="I9" s="118"/>
      <c r="J9" s="118" t="s">
        <v>121</v>
      </c>
      <c r="K9" s="118"/>
      <c r="L9" s="118"/>
      <c r="M9" s="118"/>
      <c r="N9" s="118"/>
      <c r="O9" s="118"/>
      <c r="P9" s="118" t="s">
        <v>122</v>
      </c>
    </row>
    <row r="10" spans="1:18" ht="22.5" customHeight="1" x14ac:dyDescent="0.2">
      <c r="A10" s="110"/>
      <c r="B10" s="111"/>
      <c r="C10" s="112"/>
      <c r="D10" s="113"/>
      <c r="E10" s="115" t="s">
        <v>541</v>
      </c>
      <c r="F10" s="121" t="s">
        <v>123</v>
      </c>
      <c r="G10" s="115" t="s">
        <v>124</v>
      </c>
      <c r="H10" s="115"/>
      <c r="I10" s="115" t="s">
        <v>125</v>
      </c>
      <c r="J10" s="114" t="s">
        <v>542</v>
      </c>
      <c r="K10" s="114" t="s">
        <v>543</v>
      </c>
      <c r="L10" s="115" t="s">
        <v>123</v>
      </c>
      <c r="M10" s="115" t="s">
        <v>124</v>
      </c>
      <c r="N10" s="115"/>
      <c r="O10" s="115" t="s">
        <v>125</v>
      </c>
      <c r="P10" s="118"/>
    </row>
    <row r="11" spans="1:18" ht="21.75" customHeight="1" x14ac:dyDescent="0.2">
      <c r="A11" s="110"/>
      <c r="B11" s="111"/>
      <c r="C11" s="112"/>
      <c r="D11" s="113"/>
      <c r="E11" s="115"/>
      <c r="F11" s="121"/>
      <c r="G11" s="115" t="s">
        <v>126</v>
      </c>
      <c r="H11" s="115" t="s">
        <v>127</v>
      </c>
      <c r="I11" s="115"/>
      <c r="J11" s="114"/>
      <c r="K11" s="114"/>
      <c r="L11" s="115"/>
      <c r="M11" s="115" t="s">
        <v>126</v>
      </c>
      <c r="N11" s="115" t="s">
        <v>127</v>
      </c>
      <c r="O11" s="115"/>
      <c r="P11" s="118"/>
    </row>
    <row r="12" spans="1:18" ht="31.5" customHeight="1" x14ac:dyDescent="0.2">
      <c r="A12" s="110"/>
      <c r="B12" s="111"/>
      <c r="C12" s="112"/>
      <c r="D12" s="113"/>
      <c r="E12" s="115"/>
      <c r="F12" s="121"/>
      <c r="G12" s="115"/>
      <c r="H12" s="115"/>
      <c r="I12" s="115"/>
      <c r="J12" s="114"/>
      <c r="K12" s="114"/>
      <c r="L12" s="115"/>
      <c r="M12" s="115"/>
      <c r="N12" s="115"/>
      <c r="O12" s="115"/>
      <c r="P12" s="118"/>
    </row>
    <row r="13" spans="1:18" s="61" customFormat="1" x14ac:dyDescent="0.2">
      <c r="A13" s="59">
        <v>1</v>
      </c>
      <c r="B13" s="59" t="s">
        <v>87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178</v>
      </c>
      <c r="B14" s="6"/>
      <c r="C14" s="7"/>
      <c r="D14" s="31" t="s">
        <v>128</v>
      </c>
      <c r="E14" s="13">
        <f>E16</f>
        <v>64854069</v>
      </c>
      <c r="F14" s="13">
        <f t="shared" ref="F14:P14" si="0">F16</f>
        <v>64854069</v>
      </c>
      <c r="G14" s="13">
        <f t="shared" si="0"/>
        <v>38880200</v>
      </c>
      <c r="H14" s="13">
        <f t="shared" si="0"/>
        <v>1102500</v>
      </c>
      <c r="I14" s="13">
        <f t="shared" si="0"/>
        <v>0</v>
      </c>
      <c r="J14" s="13">
        <f>J16</f>
        <v>5575777</v>
      </c>
      <c r="K14" s="13">
        <f>K16</f>
        <v>2648800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3607977</v>
      </c>
      <c r="P14" s="13">
        <f t="shared" si="0"/>
        <v>70429846</v>
      </c>
      <c r="R14" s="34"/>
    </row>
    <row r="15" spans="1:18" s="1" customFormat="1" ht="13.5" x14ac:dyDescent="0.2">
      <c r="A15" s="63"/>
      <c r="B15" s="64"/>
      <c r="C15" s="65"/>
      <c r="D15" s="15" t="s">
        <v>671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185</v>
      </c>
      <c r="B16" s="6"/>
      <c r="C16" s="7"/>
      <c r="D16" s="15" t="s">
        <v>128</v>
      </c>
      <c r="E16" s="68">
        <f>E17+E20+E41+E22+E25+E29+E27+E34+E35+E39+E30+E33+E18+E32</f>
        <v>64854069</v>
      </c>
      <c r="F16" s="68">
        <f>F17+F20+F41+F22+F25+F29+F27+F34+F35+F39+F30+F33+F18+F32</f>
        <v>64854069</v>
      </c>
      <c r="G16" s="68">
        <f>G17+G20+G41+G22+G25+G29+G27+G34+G35+G39+G30+G33+G18</f>
        <v>38880200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</f>
        <v>5575777</v>
      </c>
      <c r="K16" s="68">
        <f>K17+K20+K41+K22+K25+K29+K27+K34+K35+K39+K30+K33+K18+K37+K32</f>
        <v>2648800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</f>
        <v>3607977</v>
      </c>
      <c r="P16" s="68">
        <f>P17+P25+P27+P29+P31+P32+P34+P37+P39+P41</f>
        <v>70429846</v>
      </c>
    </row>
    <row r="17" spans="1:17" ht="41.25" customHeight="1" x14ac:dyDescent="0.2">
      <c r="A17" s="41" t="s">
        <v>186</v>
      </c>
      <c r="B17" s="4" t="s">
        <v>183</v>
      </c>
      <c r="C17" s="4" t="s">
        <v>129</v>
      </c>
      <c r="D17" s="23" t="s">
        <v>184</v>
      </c>
      <c r="E17" s="11">
        <f t="shared" ref="E17:E24" si="1">F17+I17</f>
        <v>53491200</v>
      </c>
      <c r="F17" s="11">
        <f>53481200+10000</f>
        <v>53491200</v>
      </c>
      <c r="G17" s="11">
        <f>39580200-700000</f>
        <v>38880200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55363700</v>
      </c>
    </row>
    <row r="18" spans="1:17" ht="25.5" hidden="1" x14ac:dyDescent="0.2">
      <c r="A18" s="41" t="s">
        <v>544</v>
      </c>
      <c r="B18" s="4" t="s">
        <v>545</v>
      </c>
      <c r="C18" s="4"/>
      <c r="D18" s="5" t="s">
        <v>548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546</v>
      </c>
      <c r="B19" s="3" t="s">
        <v>547</v>
      </c>
      <c r="C19" s="3" t="s">
        <v>201</v>
      </c>
      <c r="D19" s="69" t="s">
        <v>549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437</v>
      </c>
      <c r="B20" s="4" t="s">
        <v>413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438</v>
      </c>
      <c r="B21" s="3" t="s">
        <v>415</v>
      </c>
      <c r="C21" s="3" t="s">
        <v>131</v>
      </c>
      <c r="D21" s="70" t="s">
        <v>434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39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34</v>
      </c>
      <c r="B23" s="3" t="s">
        <v>40</v>
      </c>
      <c r="C23" s="3" t="s">
        <v>69</v>
      </c>
      <c r="D23" s="73" t="s">
        <v>35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600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188</v>
      </c>
      <c r="B25" s="20" t="s">
        <v>187</v>
      </c>
      <c r="C25" s="20" t="s">
        <v>18</v>
      </c>
      <c r="D25" s="5" t="s">
        <v>89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191</v>
      </c>
      <c r="B27" s="4" t="s">
        <v>190</v>
      </c>
      <c r="C27" s="4" t="s">
        <v>136</v>
      </c>
      <c r="D27" s="47" t="s">
        <v>91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491</v>
      </c>
      <c r="B28" s="4" t="s">
        <v>189</v>
      </c>
      <c r="C28" s="8" t="s">
        <v>135</v>
      </c>
      <c r="D28" s="21" t="s">
        <v>492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388</v>
      </c>
      <c r="B29" s="4" t="s">
        <v>387</v>
      </c>
      <c r="C29" s="4" t="s">
        <v>135</v>
      </c>
      <c r="D29" s="21" t="s">
        <v>389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195</v>
      </c>
      <c r="B30" s="4" t="s">
        <v>194</v>
      </c>
      <c r="C30" s="4"/>
      <c r="D30" s="21" t="s">
        <v>196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398</v>
      </c>
      <c r="B31" s="4" t="s">
        <v>397</v>
      </c>
      <c r="C31" s="4" t="s">
        <v>135</v>
      </c>
      <c r="D31" s="21" t="s">
        <v>430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197</v>
      </c>
      <c r="B32" s="4" t="s">
        <v>198</v>
      </c>
      <c r="C32" s="4" t="s">
        <v>135</v>
      </c>
      <c r="D32" s="21" t="s">
        <v>199</v>
      </c>
      <c r="E32" s="11">
        <f t="shared" si="5"/>
        <v>7313419</v>
      </c>
      <c r="F32" s="11">
        <f>6966419+200000+147000</f>
        <v>7313419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7347719</v>
      </c>
    </row>
    <row r="33" spans="1:18" hidden="1" x14ac:dyDescent="0.2">
      <c r="A33" s="41" t="s">
        <v>94</v>
      </c>
      <c r="B33" s="20" t="s">
        <v>41</v>
      </c>
      <c r="C33" s="20" t="s">
        <v>142</v>
      </c>
      <c r="D33" s="14" t="s">
        <v>143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193</v>
      </c>
      <c r="B34" s="4" t="s">
        <v>192</v>
      </c>
      <c r="C34" s="4" t="s">
        <v>138</v>
      </c>
      <c r="D34" s="14" t="s">
        <v>399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90</v>
      </c>
      <c r="B35" s="4" t="s">
        <v>76</v>
      </c>
      <c r="C35" s="4" t="s">
        <v>139</v>
      </c>
      <c r="D35" s="14" t="s">
        <v>140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470</v>
      </c>
      <c r="B36" s="4" t="s">
        <v>471</v>
      </c>
      <c r="C36" s="4"/>
      <c r="D36" s="14" t="s">
        <v>474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472</v>
      </c>
      <c r="B37" s="4" t="s">
        <v>473</v>
      </c>
      <c r="C37" s="4" t="s">
        <v>137</v>
      </c>
      <c r="D37" s="14" t="s">
        <v>141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671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475</v>
      </c>
      <c r="B39" s="4" t="s">
        <v>476</v>
      </c>
      <c r="C39" s="4" t="s">
        <v>364</v>
      </c>
      <c r="D39" s="72" t="s">
        <v>477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141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615</v>
      </c>
      <c r="B41" s="4" t="s">
        <v>614</v>
      </c>
      <c r="C41" s="4" t="s">
        <v>133</v>
      </c>
      <c r="D41" s="75" t="s">
        <v>616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179</v>
      </c>
      <c r="B42" s="6"/>
      <c r="C42" s="7"/>
      <c r="D42" s="31" t="s">
        <v>144</v>
      </c>
      <c r="E42" s="25">
        <f>E51</f>
        <v>545903734</v>
      </c>
      <c r="F42" s="25">
        <f t="shared" ref="F42:P42" si="6">F51</f>
        <v>545903734</v>
      </c>
      <c r="G42" s="25">
        <f t="shared" si="6"/>
        <v>389023902</v>
      </c>
      <c r="H42" s="25">
        <f t="shared" si="6"/>
        <v>46542067</v>
      </c>
      <c r="I42" s="25"/>
      <c r="J42" s="25">
        <f t="shared" si="6"/>
        <v>48277237</v>
      </c>
      <c r="K42" s="25">
        <f>K51</f>
        <v>26514007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26605407</v>
      </c>
      <c r="P42" s="25">
        <f t="shared" si="6"/>
        <v>594180971</v>
      </c>
      <c r="Q42" s="39"/>
      <c r="R42" s="34"/>
    </row>
    <row r="43" spans="1:18" s="1" customFormat="1" x14ac:dyDescent="0.2">
      <c r="A43" s="36"/>
      <c r="B43" s="18"/>
      <c r="C43" s="3"/>
      <c r="D43" s="35" t="s">
        <v>95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643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481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E89</f>
        <v>798157</v>
      </c>
      <c r="F48" s="10">
        <f t="shared" ref="F48:P48" si="8">F89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502</v>
      </c>
      <c r="E49" s="10">
        <f>E91</f>
        <v>1646726</v>
      </c>
      <c r="F49" s="10">
        <f>F91</f>
        <v>1646726</v>
      </c>
      <c r="G49" s="10">
        <f>G91</f>
        <v>1021900</v>
      </c>
      <c r="H49" s="10">
        <f>H71+H82</f>
        <v>0</v>
      </c>
      <c r="I49" s="10">
        <f>I71+I82</f>
        <v>0</v>
      </c>
      <c r="J49" s="10">
        <f>J91</f>
        <v>835608</v>
      </c>
      <c r="K49" s="10">
        <f>K91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674</v>
      </c>
      <c r="E50" s="10">
        <f>E93</f>
        <v>114499</v>
      </c>
      <c r="F50" s="10">
        <f t="shared" ref="F50:O50" si="9">F93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200</v>
      </c>
      <c r="B51" s="8"/>
      <c r="C51" s="7"/>
      <c r="D51" s="14" t="s">
        <v>144</v>
      </c>
      <c r="E51" s="25">
        <f>E52+E53+E57+E59+E68+E69+E74+E76+E80+E83+E85+E86+E90+E73+E92+E88</f>
        <v>545903734</v>
      </c>
      <c r="F51" s="25">
        <f>F52+F53+F57+F59+F68+F69+F74+F76+F80+F83+F85+F86+F90+F73+F92+F88</f>
        <v>545903734</v>
      </c>
      <c r="G51" s="25">
        <f>G52+G53+G57+G59+G68+G69+G74+G76+G80+G83+G85+G86+G90+G92+G88</f>
        <v>389023902</v>
      </c>
      <c r="H51" s="25">
        <f>H52+H53+H57+H59+H68+H69+H74+H76+H80+H83+H85+H86+H90</f>
        <v>46542067</v>
      </c>
      <c r="I51" s="25">
        <f>I52+I53+I57+I59+I68+I69+I74+I76+I80+I83+I85+I86+I90</f>
        <v>0</v>
      </c>
      <c r="J51" s="25">
        <f>J52+J53+J57+J59+J68+J69+J74+J76+J80+J83+J85+J86+J90+J73+J92+J87+J88</f>
        <v>48277237</v>
      </c>
      <c r="K51" s="25">
        <f>K52+K53+K57+K59+K68+K69+K74+K76+K80+K83+K85+K86+K90+K73+K92+K87+K88</f>
        <v>26514007</v>
      </c>
      <c r="L51" s="25">
        <f>L52+L53+L57+L59+L68+L69+L74+L76+L80+L83+L85+L86+L90+L73+L92+L87</f>
        <v>21671830</v>
      </c>
      <c r="M51" s="25">
        <f>M52+M53+M57+M59+M68+M69+M74+M76+M80+M83+M85+M86+M90+M73+M92+M87</f>
        <v>1262830</v>
      </c>
      <c r="N51" s="25">
        <f>N52+N53+N57+N59+N68+N69+N74+N76+N80+N83+N85+N86+N90+N73+N92+N87</f>
        <v>73850</v>
      </c>
      <c r="O51" s="25">
        <f>O52+O53+O57+O59+O68+O69+O74+O76+O80+O83+O85+O86+O90+O73+O92+O87+O88</f>
        <v>26605407</v>
      </c>
      <c r="P51" s="25">
        <f>P52+P53+P57+P59+P68+P69+P74+P76+P80+P83+P85+P86+P90+P73+P92+P87+P88</f>
        <v>594180971</v>
      </c>
    </row>
    <row r="52" spans="1:18" ht="25.5" x14ac:dyDescent="0.2">
      <c r="A52" s="41" t="s">
        <v>202</v>
      </c>
      <c r="B52" s="4" t="s">
        <v>201</v>
      </c>
      <c r="C52" s="4" t="s">
        <v>129</v>
      </c>
      <c r="D52" s="14" t="s">
        <v>613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89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9" si="11">E52+J52</f>
        <v>2399500</v>
      </c>
    </row>
    <row r="53" spans="1:18" x14ac:dyDescent="0.2">
      <c r="A53" s="41" t="s">
        <v>204</v>
      </c>
      <c r="B53" s="20" t="s">
        <v>72</v>
      </c>
      <c r="C53" s="20" t="s">
        <v>145</v>
      </c>
      <c r="D53" s="5" t="s">
        <v>203</v>
      </c>
      <c r="E53" s="11">
        <f>F53</f>
        <v>181021621</v>
      </c>
      <c r="F53" s="12">
        <f>178430621+1432000+1039000+120000</f>
        <v>181021621</v>
      </c>
      <c r="G53" s="12">
        <f>122869300-1600000-400000</f>
        <v>120869300</v>
      </c>
      <c r="H53" s="12">
        <f>18317400+1490000</f>
        <v>19807400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205929921</v>
      </c>
      <c r="Q53" s="104"/>
      <c r="R53" s="105"/>
    </row>
    <row r="54" spans="1:18" ht="38.25" hidden="1" x14ac:dyDescent="0.2">
      <c r="A54" s="41"/>
      <c r="B54" s="20"/>
      <c r="C54" s="20"/>
      <c r="D54" s="35" t="s">
        <v>502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629</v>
      </c>
      <c r="B57" s="98" t="s">
        <v>619</v>
      </c>
      <c r="C57" s="20" t="s">
        <v>146</v>
      </c>
      <c r="D57" s="21" t="s">
        <v>631</v>
      </c>
      <c r="E57" s="11">
        <f>F57</f>
        <v>70686997</v>
      </c>
      <c r="F57" s="12">
        <f>72080997+6000-1500000+100000</f>
        <v>70686997</v>
      </c>
      <c r="G57" s="12">
        <f>33432800-800000</f>
        <v>32632800</v>
      </c>
      <c r="H57" s="12">
        <f>24903067-100000</f>
        <v>24803067</v>
      </c>
      <c r="I57" s="12"/>
      <c r="J57" s="101">
        <f>L57+O57</f>
        <v>7191012</v>
      </c>
      <c r="K57" s="11">
        <f>4539332-6000+10000-1140000+700000+470000</f>
        <v>4573332</v>
      </c>
      <c r="L57" s="11">
        <v>2578880</v>
      </c>
      <c r="M57" s="11">
        <v>1009130</v>
      </c>
      <c r="N57" s="11">
        <v>54500</v>
      </c>
      <c r="O57" s="11">
        <f>K57+38800</f>
        <v>4612132</v>
      </c>
      <c r="P57" s="13">
        <f t="shared" si="11"/>
        <v>77878009</v>
      </c>
    </row>
    <row r="58" spans="1:18" ht="38.25" x14ac:dyDescent="0.2">
      <c r="A58" s="41"/>
      <c r="B58" s="98"/>
      <c r="C58" s="20"/>
      <c r="D58" s="35" t="s">
        <v>643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0" si="12">K58</f>
        <v>0</v>
      </c>
      <c r="P58" s="13">
        <f t="shared" si="11"/>
        <v>5453446</v>
      </c>
    </row>
    <row r="59" spans="1:18" x14ac:dyDescent="0.2">
      <c r="A59" s="41" t="s">
        <v>630</v>
      </c>
      <c r="B59" s="98" t="s">
        <v>620</v>
      </c>
      <c r="C59" s="20" t="s">
        <v>146</v>
      </c>
      <c r="D59" s="21" t="s">
        <v>631</v>
      </c>
      <c r="E59" s="11">
        <f t="shared" ref="E59:E93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171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131</v>
      </c>
      <c r="C61" s="20" t="s">
        <v>146</v>
      </c>
      <c r="D61" s="5" t="s">
        <v>96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571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566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468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481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95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632</v>
      </c>
      <c r="B68" s="98" t="s">
        <v>621</v>
      </c>
      <c r="C68" s="20" t="s">
        <v>117</v>
      </c>
      <c r="D68" s="23" t="s">
        <v>583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633</v>
      </c>
      <c r="B69" s="98" t="s">
        <v>622</v>
      </c>
      <c r="C69" s="20" t="s">
        <v>117</v>
      </c>
      <c r="D69" s="23" t="s">
        <v>583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468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502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95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659</v>
      </c>
      <c r="B73" s="22" t="s">
        <v>660</v>
      </c>
      <c r="C73" s="22" t="s">
        <v>146</v>
      </c>
      <c r="D73" s="103" t="s">
        <v>628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634</v>
      </c>
      <c r="B74" s="98" t="s">
        <v>37</v>
      </c>
      <c r="C74" s="20" t="s">
        <v>147</v>
      </c>
      <c r="D74" s="21" t="s">
        <v>584</v>
      </c>
      <c r="E74" s="11">
        <f t="shared" si="13"/>
        <v>23096219</v>
      </c>
      <c r="F74" s="12">
        <f>23248900-208681+10000+46000</f>
        <v>23096219</v>
      </c>
      <c r="G74" s="12">
        <f>17026170-171000</f>
        <v>16855170</v>
      </c>
      <c r="H74" s="12">
        <f>1217000+100000</f>
        <v>1317000</v>
      </c>
      <c r="I74" s="12"/>
      <c r="J74" s="11">
        <f>L74+O74</f>
        <v>2833250</v>
      </c>
      <c r="K74" s="12">
        <f>1693000-300000+250000</f>
        <v>1643000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1695600</v>
      </c>
      <c r="P74" s="13">
        <f>E74+J74</f>
        <v>25929469</v>
      </c>
    </row>
    <row r="75" spans="1:16" s="1" customFormat="1" hidden="1" x14ac:dyDescent="0.2">
      <c r="A75" s="36"/>
      <c r="B75" s="97"/>
      <c r="C75" s="22"/>
      <c r="D75" s="19" t="s">
        <v>485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207</v>
      </c>
      <c r="B76" s="98" t="s">
        <v>206</v>
      </c>
      <c r="C76" s="20" t="s">
        <v>148</v>
      </c>
      <c r="D76" s="5" t="s">
        <v>635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42</v>
      </c>
      <c r="C77" s="20" t="s">
        <v>148</v>
      </c>
      <c r="D77" s="21" t="s">
        <v>97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43</v>
      </c>
      <c r="C78" s="20" t="s">
        <v>148</v>
      </c>
      <c r="D78" s="21" t="s">
        <v>98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207</v>
      </c>
      <c r="B79" s="96" t="s">
        <v>206</v>
      </c>
      <c r="C79" s="20"/>
      <c r="D79" s="42" t="s">
        <v>205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636</v>
      </c>
      <c r="B80" s="98" t="s">
        <v>623</v>
      </c>
      <c r="C80" s="20" t="s">
        <v>148</v>
      </c>
      <c r="D80" s="42" t="s">
        <v>400</v>
      </c>
      <c r="E80" s="11">
        <f t="shared" si="13"/>
        <v>11416000</v>
      </c>
      <c r="F80" s="12">
        <f>11399000+17000</f>
        <v>11416000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11541200</v>
      </c>
    </row>
    <row r="81" spans="1:18" hidden="1" x14ac:dyDescent="0.2">
      <c r="A81" s="41"/>
      <c r="B81" s="96"/>
      <c r="C81" s="20"/>
      <c r="D81" s="42" t="s">
        <v>550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502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637</v>
      </c>
      <c r="B83" s="98" t="s">
        <v>624</v>
      </c>
      <c r="C83" s="20" t="s">
        <v>148</v>
      </c>
      <c r="D83" s="42" t="s">
        <v>401</v>
      </c>
      <c r="E83" s="11">
        <f t="shared" si="13"/>
        <v>335070</v>
      </c>
      <c r="F83" s="12">
        <f>278000+7070+50000</f>
        <v>335070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335070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639</v>
      </c>
      <c r="B85" s="98" t="s">
        <v>625</v>
      </c>
      <c r="C85" s="20" t="s">
        <v>148</v>
      </c>
      <c r="D85" s="14" t="s">
        <v>638</v>
      </c>
      <c r="E85" s="11">
        <f t="shared" si="13"/>
        <v>298700</v>
      </c>
      <c r="F85" s="11">
        <f>285700+13000</f>
        <v>298700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298700</v>
      </c>
    </row>
    <row r="86" spans="1:18" s="1" customFormat="1" ht="25.5" x14ac:dyDescent="0.2">
      <c r="A86" s="36" t="s">
        <v>640</v>
      </c>
      <c r="B86" s="100" t="s">
        <v>626</v>
      </c>
      <c r="C86" s="22" t="s">
        <v>148</v>
      </c>
      <c r="D86" s="14" t="s">
        <v>641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ht="38.25" x14ac:dyDescent="0.2">
      <c r="A87" s="41" t="s">
        <v>1</v>
      </c>
      <c r="B87" s="20" t="s">
        <v>2</v>
      </c>
      <c r="C87" s="20" t="s">
        <v>148</v>
      </c>
      <c r="D87" s="5" t="s">
        <v>3</v>
      </c>
      <c r="E87" s="11">
        <f t="shared" si="13"/>
        <v>0</v>
      </c>
      <c r="F87" s="12"/>
      <c r="G87" s="12"/>
      <c r="H87" s="12"/>
      <c r="I87" s="12"/>
      <c r="J87" s="11">
        <f t="shared" si="10"/>
        <v>1140000</v>
      </c>
      <c r="K87" s="12">
        <v>1140000</v>
      </c>
      <c r="L87" s="12"/>
      <c r="M87" s="12"/>
      <c r="N87" s="12"/>
      <c r="O87" s="12">
        <f t="shared" si="12"/>
        <v>1140000</v>
      </c>
      <c r="P87" s="13">
        <f t="shared" si="11"/>
        <v>1140000</v>
      </c>
    </row>
    <row r="88" spans="1:18" ht="38.25" x14ac:dyDescent="0.2">
      <c r="A88" s="41" t="s">
        <v>4</v>
      </c>
      <c r="B88" s="20" t="s">
        <v>5</v>
      </c>
      <c r="C88" s="20" t="s">
        <v>148</v>
      </c>
      <c r="D88" s="5" t="s">
        <v>6</v>
      </c>
      <c r="E88" s="11">
        <f t="shared" si="13"/>
        <v>798157</v>
      </c>
      <c r="F88" s="12">
        <v>798157</v>
      </c>
      <c r="G88" s="12">
        <v>24868</v>
      </c>
      <c r="H88" s="12"/>
      <c r="I88" s="12"/>
      <c r="J88" s="11">
        <f t="shared" si="10"/>
        <v>2403643</v>
      </c>
      <c r="K88" s="12">
        <v>2403643</v>
      </c>
      <c r="L88" s="12"/>
      <c r="M88" s="12"/>
      <c r="N88" s="12"/>
      <c r="O88" s="12">
        <f>K88</f>
        <v>2403643</v>
      </c>
      <c r="P88" s="13">
        <f t="shared" si="11"/>
        <v>3201800</v>
      </c>
    </row>
    <row r="89" spans="1:18" s="1" customFormat="1" ht="38.25" x14ac:dyDescent="0.2">
      <c r="A89" s="36"/>
      <c r="B89" s="22"/>
      <c r="C89" s="22"/>
      <c r="D89" s="43" t="s">
        <v>7</v>
      </c>
      <c r="E89" s="11">
        <f t="shared" si="13"/>
        <v>798157</v>
      </c>
      <c r="F89" s="17">
        <f>F88</f>
        <v>798157</v>
      </c>
      <c r="G89" s="17">
        <f>G88</f>
        <v>24868</v>
      </c>
      <c r="H89" s="17"/>
      <c r="I89" s="17"/>
      <c r="J89" s="11">
        <f t="shared" si="10"/>
        <v>2403643</v>
      </c>
      <c r="K89" s="17">
        <f>K88</f>
        <v>2403643</v>
      </c>
      <c r="L89" s="17"/>
      <c r="M89" s="17"/>
      <c r="N89" s="17"/>
      <c r="O89" s="12">
        <f t="shared" si="12"/>
        <v>2403643</v>
      </c>
      <c r="P89" s="13">
        <f t="shared" si="11"/>
        <v>3201800</v>
      </c>
    </row>
    <row r="90" spans="1:18" ht="25.5" x14ac:dyDescent="0.2">
      <c r="A90" s="41" t="s">
        <v>644</v>
      </c>
      <c r="B90" s="20" t="s">
        <v>43</v>
      </c>
      <c r="C90" s="4" t="s">
        <v>148</v>
      </c>
      <c r="D90" s="82" t="s">
        <v>645</v>
      </c>
      <c r="E90" s="11">
        <f t="shared" si="13"/>
        <v>1646726</v>
      </c>
      <c r="F90" s="12">
        <v>1646726</v>
      </c>
      <c r="G90" s="12">
        <v>1021900</v>
      </c>
      <c r="H90" s="12"/>
      <c r="I90" s="12"/>
      <c r="J90" s="11">
        <f>K90</f>
        <v>835608</v>
      </c>
      <c r="K90" s="12">
        <v>835608</v>
      </c>
      <c r="L90" s="12"/>
      <c r="M90" s="12"/>
      <c r="N90" s="12"/>
      <c r="O90" s="12">
        <f t="shared" si="12"/>
        <v>835608</v>
      </c>
      <c r="P90" s="13">
        <f>E90+J90</f>
        <v>2482334</v>
      </c>
    </row>
    <row r="91" spans="1:18" s="1" customFormat="1" ht="38.25" x14ac:dyDescent="0.2">
      <c r="A91" s="36"/>
      <c r="B91" s="22"/>
      <c r="C91" s="3"/>
      <c r="D91" s="35" t="s">
        <v>502</v>
      </c>
      <c r="E91" s="10">
        <f t="shared" si="13"/>
        <v>1646726</v>
      </c>
      <c r="F91" s="10">
        <f>F90</f>
        <v>1646726</v>
      </c>
      <c r="G91" s="10">
        <f>G90</f>
        <v>1021900</v>
      </c>
      <c r="H91" s="17"/>
      <c r="I91" s="17"/>
      <c r="J91" s="11">
        <f>K91</f>
        <v>835608</v>
      </c>
      <c r="K91" s="17">
        <f>K90</f>
        <v>835608</v>
      </c>
      <c r="L91" s="17"/>
      <c r="M91" s="17"/>
      <c r="N91" s="17"/>
      <c r="O91" s="12">
        <f>K91</f>
        <v>835608</v>
      </c>
      <c r="P91" s="13">
        <f>E91+J91</f>
        <v>2482334</v>
      </c>
    </row>
    <row r="92" spans="1:18" ht="38.25" x14ac:dyDescent="0.2">
      <c r="A92" s="41" t="s">
        <v>672</v>
      </c>
      <c r="B92" s="20" t="s">
        <v>673</v>
      </c>
      <c r="C92" s="4" t="s">
        <v>148</v>
      </c>
      <c r="D92" s="77" t="s">
        <v>675</v>
      </c>
      <c r="E92" s="10">
        <f t="shared" si="13"/>
        <v>408403</v>
      </c>
      <c r="F92" s="11">
        <f>114499+293904</f>
        <v>408403</v>
      </c>
      <c r="G92" s="11">
        <f>93800+240904</f>
        <v>334704</v>
      </c>
      <c r="H92" s="12"/>
      <c r="I92" s="12"/>
      <c r="J92" s="11">
        <f>K92</f>
        <v>8424</v>
      </c>
      <c r="K92" s="12">
        <v>8424</v>
      </c>
      <c r="L92" s="12"/>
      <c r="M92" s="12"/>
      <c r="N92" s="12"/>
      <c r="O92" s="12">
        <f>K92</f>
        <v>8424</v>
      </c>
      <c r="P92" s="13">
        <f>E92+J92</f>
        <v>416827</v>
      </c>
    </row>
    <row r="93" spans="1:18" s="1" customFormat="1" ht="38.25" x14ac:dyDescent="0.2">
      <c r="A93" s="36"/>
      <c r="B93" s="22"/>
      <c r="C93" s="3"/>
      <c r="D93" s="35" t="s">
        <v>674</v>
      </c>
      <c r="E93" s="10">
        <f t="shared" si="13"/>
        <v>114499</v>
      </c>
      <c r="F93" s="10">
        <v>114499</v>
      </c>
      <c r="G93" s="10">
        <v>93800</v>
      </c>
      <c r="H93" s="17"/>
      <c r="I93" s="17"/>
      <c r="J93" s="11">
        <f>K93</f>
        <v>8424</v>
      </c>
      <c r="K93" s="17">
        <v>8424</v>
      </c>
      <c r="L93" s="17"/>
      <c r="M93" s="17"/>
      <c r="N93" s="17"/>
      <c r="O93" s="12">
        <f>K93</f>
        <v>8424</v>
      </c>
      <c r="P93" s="13">
        <f>E93+J93</f>
        <v>122923</v>
      </c>
    </row>
    <row r="94" spans="1:18" x14ac:dyDescent="0.2">
      <c r="A94" s="62" t="s">
        <v>180</v>
      </c>
      <c r="B94" s="6"/>
      <c r="C94" s="7"/>
      <c r="D94" s="31" t="s">
        <v>102</v>
      </c>
      <c r="E94" s="25">
        <f>E103</f>
        <v>45417816</v>
      </c>
      <c r="F94" s="25">
        <f t="shared" ref="F94:O94" si="14">F103</f>
        <v>45417816</v>
      </c>
      <c r="G94" s="25">
        <f t="shared" si="14"/>
        <v>2019700</v>
      </c>
      <c r="H94" s="25">
        <f t="shared" si="14"/>
        <v>34000</v>
      </c>
      <c r="I94" s="25">
        <f t="shared" si="14"/>
        <v>0</v>
      </c>
      <c r="J94" s="25">
        <f t="shared" si="14"/>
        <v>5079514</v>
      </c>
      <c r="K94" s="25">
        <f>K103</f>
        <v>4970857</v>
      </c>
      <c r="L94" s="25">
        <f t="shared" si="14"/>
        <v>108657</v>
      </c>
      <c r="M94" s="25">
        <f t="shared" si="14"/>
        <v>0</v>
      </c>
      <c r="N94" s="25">
        <f t="shared" si="14"/>
        <v>0</v>
      </c>
      <c r="O94" s="25">
        <f t="shared" si="14"/>
        <v>4970857</v>
      </c>
      <c r="P94" s="13">
        <f t="shared" si="11"/>
        <v>50497330</v>
      </c>
      <c r="Q94" s="39"/>
      <c r="R94" s="34"/>
    </row>
    <row r="95" spans="1:18" s="1" customFormat="1" x14ac:dyDescent="0.2">
      <c r="A95" s="36"/>
      <c r="B95" s="18"/>
      <c r="C95" s="3"/>
      <c r="D95" s="35" t="s">
        <v>104</v>
      </c>
      <c r="E95" s="10">
        <f>F95+I95</f>
        <v>0</v>
      </c>
      <c r="F95" s="17">
        <f>F106+F112+F125+F118</f>
        <v>0</v>
      </c>
      <c r="G95" s="17">
        <f>SUM(G106+G109+G112+G114+G128+G123+G141+G132+G136)</f>
        <v>0</v>
      </c>
      <c r="H95" s="17">
        <f>SUM(H106+H109+H112+H114+H128+H123+H141+H132+H136)</f>
        <v>0</v>
      </c>
      <c r="I95" s="17">
        <f>SUM(I106+I109+I112+I114+I128+I123+I141+I132+I136)</f>
        <v>0</v>
      </c>
      <c r="J95" s="17">
        <f>SUM(J106+J112+J114+J128+J123+J141)</f>
        <v>0</v>
      </c>
      <c r="K95" s="17">
        <f>SUM(K106+K112+K114+K128+K123+K141)</f>
        <v>0</v>
      </c>
      <c r="L95" s="17">
        <f>SUM(L106+L109+L112+L114+L128+L123+L141)</f>
        <v>0</v>
      </c>
      <c r="M95" s="17">
        <f>SUM(M106+M109+M112+M114+M128+M123+M141)</f>
        <v>0</v>
      </c>
      <c r="N95" s="17">
        <f>SUM(N106+N109+N112+N114+N128+N123+N141)</f>
        <v>0</v>
      </c>
      <c r="O95" s="17">
        <f>SUM(O106+O112+O114+O128+O123+O141)</f>
        <v>0</v>
      </c>
      <c r="P95" s="16">
        <f t="shared" si="11"/>
        <v>0</v>
      </c>
    </row>
    <row r="96" spans="1:18" s="1" customFormat="1" ht="25.5" x14ac:dyDescent="0.2">
      <c r="A96" s="36"/>
      <c r="B96" s="18"/>
      <c r="C96" s="3"/>
      <c r="D96" s="35" t="s">
        <v>469</v>
      </c>
      <c r="E96" s="10">
        <f>F96+I96</f>
        <v>0</v>
      </c>
      <c r="F96" s="17">
        <f>F119+F109</f>
        <v>0</v>
      </c>
      <c r="G96" s="17"/>
      <c r="H96" s="17"/>
      <c r="I96" s="17"/>
      <c r="J96" s="17">
        <f>L96+O96</f>
        <v>0</v>
      </c>
      <c r="K96" s="17">
        <f>K119+K109+K115+K126</f>
        <v>0</v>
      </c>
      <c r="L96" s="17"/>
      <c r="M96" s="17"/>
      <c r="N96" s="17"/>
      <c r="O96" s="17">
        <f>K96</f>
        <v>0</v>
      </c>
      <c r="P96" s="16">
        <f t="shared" si="11"/>
        <v>0</v>
      </c>
    </row>
    <row r="97" spans="1:16" s="1" customFormat="1" ht="25.5" x14ac:dyDescent="0.2">
      <c r="A97" s="36"/>
      <c r="B97" s="18"/>
      <c r="C97" s="3"/>
      <c r="D97" s="35" t="s">
        <v>482</v>
      </c>
      <c r="E97" s="10">
        <f>F97+I97</f>
        <v>0</v>
      </c>
      <c r="F97" s="17"/>
      <c r="G97" s="17"/>
      <c r="H97" s="17"/>
      <c r="I97" s="17"/>
      <c r="J97" s="17">
        <f>L97+O97</f>
        <v>0</v>
      </c>
      <c r="K97" s="17">
        <f>K146</f>
        <v>0</v>
      </c>
      <c r="L97" s="17"/>
      <c r="M97" s="17"/>
      <c r="N97" s="17"/>
      <c r="O97" s="17">
        <f>O146</f>
        <v>0</v>
      </c>
      <c r="P97" s="16">
        <f t="shared" si="11"/>
        <v>0</v>
      </c>
    </row>
    <row r="98" spans="1:16" s="1" customFormat="1" x14ac:dyDescent="0.2">
      <c r="A98" s="36"/>
      <c r="B98" s="18"/>
      <c r="C98" s="3"/>
      <c r="D98" s="35" t="s">
        <v>485</v>
      </c>
      <c r="E98" s="10">
        <f>E142+E108</f>
        <v>0</v>
      </c>
      <c r="F98" s="10">
        <f>F142+F108</f>
        <v>0</v>
      </c>
      <c r="G98" s="10">
        <f>G142</f>
        <v>0</v>
      </c>
      <c r="H98" s="10">
        <f>H142</f>
        <v>0</v>
      </c>
      <c r="I98" s="10">
        <f>I142</f>
        <v>0</v>
      </c>
      <c r="J98" s="10">
        <f>K98+L98</f>
        <v>0</v>
      </c>
      <c r="K98" s="17">
        <f>K108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32.25" customHeight="1" x14ac:dyDescent="0.2">
      <c r="A99" s="36"/>
      <c r="B99" s="18"/>
      <c r="C99" s="3"/>
      <c r="D99" s="19" t="s">
        <v>592</v>
      </c>
      <c r="E99" s="10">
        <f>F99</f>
        <v>0</v>
      </c>
      <c r="F99" s="10">
        <f>F132+F109</f>
        <v>0</v>
      </c>
      <c r="G99" s="10"/>
      <c r="H99" s="10"/>
      <c r="I99" s="10"/>
      <c r="J99" s="10"/>
      <c r="K99" s="17"/>
      <c r="L99" s="17"/>
      <c r="M99" s="17"/>
      <c r="N99" s="17"/>
      <c r="O99" s="17"/>
      <c r="P99" s="16">
        <f t="shared" si="11"/>
        <v>0</v>
      </c>
    </row>
    <row r="100" spans="1:16" s="1" customFormat="1" ht="29.25" customHeight="1" x14ac:dyDescent="0.2">
      <c r="A100" s="36"/>
      <c r="B100" s="18"/>
      <c r="C100" s="3"/>
      <c r="D100" s="19" t="s">
        <v>586</v>
      </c>
      <c r="E100" s="10">
        <f>E133</f>
        <v>0</v>
      </c>
      <c r="F100" s="10">
        <f>F133</f>
        <v>0</v>
      </c>
      <c r="G100" s="10"/>
      <c r="H100" s="10"/>
      <c r="I100" s="10"/>
      <c r="J100" s="10">
        <f>J110</f>
        <v>0</v>
      </c>
      <c r="K100" s="10">
        <f>K110</f>
        <v>0</v>
      </c>
      <c r="L100" s="17"/>
      <c r="M100" s="17"/>
      <c r="N100" s="17"/>
      <c r="O100" s="10">
        <f>O110</f>
        <v>0</v>
      </c>
      <c r="P100" s="16">
        <f t="shared" si="11"/>
        <v>0</v>
      </c>
    </row>
    <row r="101" spans="1:16" s="1" customFormat="1" ht="38.25" x14ac:dyDescent="0.2">
      <c r="A101" s="36"/>
      <c r="B101" s="18"/>
      <c r="C101" s="3"/>
      <c r="D101" s="19" t="s">
        <v>647</v>
      </c>
      <c r="E101" s="10">
        <f>F101</f>
        <v>5981008</v>
      </c>
      <c r="F101" s="10">
        <f>F110+F116+F120+F134</f>
        <v>5981008</v>
      </c>
      <c r="G101" s="10"/>
      <c r="H101" s="10"/>
      <c r="I101" s="10"/>
      <c r="J101" s="10">
        <f>J143</f>
        <v>0</v>
      </c>
      <c r="K101" s="17"/>
      <c r="L101" s="17"/>
      <c r="M101" s="17"/>
      <c r="N101" s="17"/>
      <c r="O101" s="17"/>
      <c r="P101" s="16">
        <f t="shared" si="11"/>
        <v>5981008</v>
      </c>
    </row>
    <row r="102" spans="1:16" s="1" customFormat="1" ht="25.5" x14ac:dyDescent="0.2">
      <c r="A102" s="36"/>
      <c r="B102" s="18"/>
      <c r="C102" s="3"/>
      <c r="D102" s="35" t="s">
        <v>512</v>
      </c>
      <c r="E102" s="10"/>
      <c r="F102" s="17"/>
      <c r="G102" s="17"/>
      <c r="H102" s="17"/>
      <c r="I102" s="17"/>
      <c r="J102" s="17">
        <f>L102+O102</f>
        <v>347197</v>
      </c>
      <c r="K102" s="17">
        <f>K150</f>
        <v>347197</v>
      </c>
      <c r="L102" s="17"/>
      <c r="M102" s="17"/>
      <c r="N102" s="17"/>
      <c r="O102" s="17">
        <f>K102</f>
        <v>347197</v>
      </c>
      <c r="P102" s="16">
        <f t="shared" si="11"/>
        <v>347197</v>
      </c>
    </row>
    <row r="103" spans="1:16" s="1" customFormat="1" ht="16.5" customHeight="1" x14ac:dyDescent="0.2">
      <c r="A103" s="36" t="s">
        <v>208</v>
      </c>
      <c r="B103" s="18"/>
      <c r="C103" s="3"/>
      <c r="D103" s="15" t="s">
        <v>102</v>
      </c>
      <c r="E103" s="17">
        <f>E104+E105+E111+E117+E121+E129+E138+E144+E139+E140+E122+E131+E147</f>
        <v>45417816</v>
      </c>
      <c r="F103" s="17">
        <f>F104+F105+F111+F117+F121+F129+F138+F144+F139+F140+F122+F131+F147</f>
        <v>45417816</v>
      </c>
      <c r="G103" s="17">
        <f>G104+G105+G111+G117+G121+G129+G138+G144+G139+G140+G122</f>
        <v>2019700</v>
      </c>
      <c r="H103" s="17">
        <f>H104+H105+H111+H117+H121+H129+H138+H144+H139+H140+H122</f>
        <v>34000</v>
      </c>
      <c r="I103" s="17">
        <f>I104+I105+I111+I117+I121+I129+I138+I144+I139+I140+I122</f>
        <v>0</v>
      </c>
      <c r="J103" s="17">
        <f>J104+J105+J111+J117+J121+J129+J138+J144+J139+J122</f>
        <v>5079514</v>
      </c>
      <c r="K103" s="17">
        <f>K104+K105+K111+K117+K121+K129+K138+K144+K149+K122+K139</f>
        <v>4970857</v>
      </c>
      <c r="L103" s="17">
        <f>L104+L105+L111+L117+L121+L129+L138+L144+L139+L122</f>
        <v>108657</v>
      </c>
      <c r="M103" s="17">
        <f>M104+M105+M111+M117+M121+M129+M138+M144</f>
        <v>0</v>
      </c>
      <c r="N103" s="17">
        <f>N104+N105+N111+N117+N121+N129+N138+N144</f>
        <v>0</v>
      </c>
      <c r="O103" s="17">
        <f>O104+O105+O111+O131+O122+O139+O149</f>
        <v>4970857</v>
      </c>
      <c r="P103" s="17">
        <f>P104+P105+P111+P117+P121+P129+P138+P144+P131+P139+P140+P122+P147</f>
        <v>50497330</v>
      </c>
    </row>
    <row r="104" spans="1:16" ht="25.5" x14ac:dyDescent="0.2">
      <c r="A104" s="41" t="s">
        <v>209</v>
      </c>
      <c r="B104" s="4" t="s">
        <v>201</v>
      </c>
      <c r="C104" s="4" t="s">
        <v>129</v>
      </c>
      <c r="D104" s="14" t="s">
        <v>613</v>
      </c>
      <c r="E104" s="11">
        <f t="shared" ref="E104:E141" si="15">F104+I104</f>
        <v>2616700</v>
      </c>
      <c r="F104" s="12">
        <f>1116700+1500000</f>
        <v>2616700</v>
      </c>
      <c r="G104" s="12">
        <f>819700+1200000</f>
        <v>2019700</v>
      </c>
      <c r="H104" s="12">
        <v>34000</v>
      </c>
      <c r="I104" s="12"/>
      <c r="J104" s="11">
        <f t="shared" ref="J104:J150" si="16">L104+O104</f>
        <v>45000</v>
      </c>
      <c r="K104" s="12">
        <v>45000</v>
      </c>
      <c r="L104" s="12"/>
      <c r="M104" s="12"/>
      <c r="N104" s="12"/>
      <c r="O104" s="12">
        <f>K104</f>
        <v>45000</v>
      </c>
      <c r="P104" s="13">
        <f t="shared" si="11"/>
        <v>2661700</v>
      </c>
    </row>
    <row r="105" spans="1:16" x14ac:dyDescent="0.2">
      <c r="A105" s="41" t="s">
        <v>210</v>
      </c>
      <c r="B105" s="4" t="s">
        <v>46</v>
      </c>
      <c r="C105" s="4" t="s">
        <v>16</v>
      </c>
      <c r="D105" s="5" t="s">
        <v>103</v>
      </c>
      <c r="E105" s="11">
        <f t="shared" si="15"/>
        <v>8896411</v>
      </c>
      <c r="F105" s="12">
        <f>14006918-4912200-198307</f>
        <v>8896411</v>
      </c>
      <c r="G105" s="12"/>
      <c r="H105" s="12"/>
      <c r="I105" s="12"/>
      <c r="J105" s="11">
        <f t="shared" si="16"/>
        <v>1605000</v>
      </c>
      <c r="K105" s="12">
        <f>1400000+205000</f>
        <v>1605000</v>
      </c>
      <c r="L105" s="12"/>
      <c r="M105" s="12"/>
      <c r="N105" s="12"/>
      <c r="O105" s="12">
        <f>K105</f>
        <v>1605000</v>
      </c>
      <c r="P105" s="13">
        <f t="shared" si="11"/>
        <v>10501411</v>
      </c>
    </row>
    <row r="106" spans="1:16" ht="12.75" hidden="1" customHeight="1" x14ac:dyDescent="0.2">
      <c r="A106" s="41"/>
      <c r="B106" s="4"/>
      <c r="C106" s="4"/>
      <c r="D106" s="35" t="s">
        <v>104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ref="O106:O131" si="17">K106</f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5"/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0</v>
      </c>
    </row>
    <row r="108" spans="1:16" ht="12.75" hidden="1" customHeight="1" x14ac:dyDescent="0.2">
      <c r="A108" s="41"/>
      <c r="B108" s="4"/>
      <c r="C108" s="4"/>
      <c r="D108" s="35" t="s">
        <v>485</v>
      </c>
      <c r="E108" s="10"/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>K108</f>
        <v>0</v>
      </c>
      <c r="P108" s="16">
        <f t="shared" si="11"/>
        <v>0</v>
      </c>
    </row>
    <row r="109" spans="1:16" ht="25.5" hidden="1" x14ac:dyDescent="0.2">
      <c r="A109" s="41"/>
      <c r="B109" s="4"/>
      <c r="C109" s="4"/>
      <c r="D109" s="35" t="s">
        <v>592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t="25.5" hidden="1" customHeight="1" x14ac:dyDescent="0.2">
      <c r="A110" s="41"/>
      <c r="B110" s="4"/>
      <c r="C110" s="4"/>
      <c r="D110" s="19" t="s">
        <v>483</v>
      </c>
      <c r="E110" s="10">
        <f t="shared" si="15"/>
        <v>0</v>
      </c>
      <c r="F110" s="17"/>
      <c r="G110" s="12"/>
      <c r="H110" s="12"/>
      <c r="I110" s="12"/>
      <c r="J110" s="10">
        <f t="shared" si="16"/>
        <v>0</v>
      </c>
      <c r="K110" s="17"/>
      <c r="L110" s="12"/>
      <c r="M110" s="12"/>
      <c r="N110" s="12"/>
      <c r="O110" s="17">
        <f t="shared" si="17"/>
        <v>0</v>
      </c>
      <c r="P110" s="13">
        <f t="shared" si="11"/>
        <v>0</v>
      </c>
    </row>
    <row r="111" spans="1:16" x14ac:dyDescent="0.2">
      <c r="A111" s="41" t="s">
        <v>212</v>
      </c>
      <c r="B111" s="4" t="s">
        <v>211</v>
      </c>
      <c r="C111" s="4" t="s">
        <v>17</v>
      </c>
      <c r="D111" s="76" t="s">
        <v>105</v>
      </c>
      <c r="E111" s="11">
        <f t="shared" si="15"/>
        <v>17446200</v>
      </c>
      <c r="F111" s="12">
        <f>17602200-156000</f>
        <v>17446200</v>
      </c>
      <c r="G111" s="12"/>
      <c r="H111" s="12"/>
      <c r="I111" s="12"/>
      <c r="J111" s="11">
        <f t="shared" si="16"/>
        <v>1715800</v>
      </c>
      <c r="K111" s="12">
        <f>1559800+156000</f>
        <v>1715800</v>
      </c>
      <c r="L111" s="12"/>
      <c r="M111" s="12"/>
      <c r="N111" s="12"/>
      <c r="O111" s="12">
        <f t="shared" si="17"/>
        <v>1715800</v>
      </c>
      <c r="P111" s="13">
        <f t="shared" si="11"/>
        <v>19162000</v>
      </c>
    </row>
    <row r="112" spans="1:16" hidden="1" x14ac:dyDescent="0.2">
      <c r="A112" s="41"/>
      <c r="B112" s="4"/>
      <c r="C112" s="4"/>
      <c r="D112" s="35" t="s">
        <v>104</v>
      </c>
      <c r="E112" s="10">
        <f t="shared" si="15"/>
        <v>0</v>
      </c>
      <c r="F112" s="17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 t="s">
        <v>215</v>
      </c>
      <c r="B113" s="4" t="s">
        <v>214</v>
      </c>
      <c r="C113" s="4" t="s">
        <v>19</v>
      </c>
      <c r="D113" s="5" t="s">
        <v>213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idden="1" x14ac:dyDescent="0.2">
      <c r="A114" s="41"/>
      <c r="B114" s="4"/>
      <c r="C114" s="4"/>
      <c r="D114" s="35" t="s">
        <v>104</v>
      </c>
      <c r="E114" s="11">
        <f t="shared" si="15"/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35" t="s">
        <v>469</v>
      </c>
      <c r="E115" s="11"/>
      <c r="F115" s="12"/>
      <c r="G115" s="12"/>
      <c r="H115" s="12"/>
      <c r="I115" s="12"/>
      <c r="J115" s="10">
        <f t="shared" si="16"/>
        <v>0</v>
      </c>
      <c r="K115" s="17"/>
      <c r="L115" s="12"/>
      <c r="M115" s="12"/>
      <c r="N115" s="12"/>
      <c r="O115" s="17">
        <f t="shared" si="17"/>
        <v>0</v>
      </c>
      <c r="P115" s="13">
        <f t="shared" si="11"/>
        <v>0</v>
      </c>
    </row>
    <row r="116" spans="1:16" ht="25.5" hidden="1" x14ac:dyDescent="0.2">
      <c r="A116" s="41"/>
      <c r="B116" s="4"/>
      <c r="C116" s="4"/>
      <c r="D116" s="19" t="s">
        <v>483</v>
      </c>
      <c r="E116" s="10">
        <f>F116</f>
        <v>0</v>
      </c>
      <c r="F116" s="17"/>
      <c r="G116" s="12"/>
      <c r="H116" s="12"/>
      <c r="I116" s="12"/>
      <c r="J116" s="10"/>
      <c r="K116" s="17"/>
      <c r="L116" s="12"/>
      <c r="M116" s="12"/>
      <c r="N116" s="12"/>
      <c r="O116" s="17"/>
      <c r="P116" s="13">
        <f t="shared" si="11"/>
        <v>0</v>
      </c>
    </row>
    <row r="117" spans="1:16" ht="15.75" hidden="1" x14ac:dyDescent="0.25">
      <c r="A117" s="41" t="s">
        <v>551</v>
      </c>
      <c r="B117" s="4" t="s">
        <v>552</v>
      </c>
      <c r="C117" s="4" t="s">
        <v>19</v>
      </c>
      <c r="D117" s="46" t="s">
        <v>553</v>
      </c>
      <c r="E117" s="11">
        <f>F117+I117</f>
        <v>0</v>
      </c>
      <c r="F117" s="12"/>
      <c r="G117" s="12"/>
      <c r="H117" s="12"/>
      <c r="I117" s="12"/>
      <c r="J117" s="11">
        <f t="shared" si="16"/>
        <v>0</v>
      </c>
      <c r="K117" s="12"/>
      <c r="L117" s="12"/>
      <c r="M117" s="12"/>
      <c r="N117" s="12"/>
      <c r="O117" s="12">
        <f>K117</f>
        <v>0</v>
      </c>
      <c r="P117" s="13">
        <f t="shared" si="11"/>
        <v>0</v>
      </c>
    </row>
    <row r="118" spans="1:16" s="1" customFormat="1" hidden="1" x14ac:dyDescent="0.2">
      <c r="A118" s="36"/>
      <c r="B118" s="3"/>
      <c r="C118" s="3"/>
      <c r="D118" s="35" t="s">
        <v>104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>E118</f>
        <v>0</v>
      </c>
    </row>
    <row r="119" spans="1:16" s="1" customFormat="1" ht="25.5" hidden="1" x14ac:dyDescent="0.2">
      <c r="A119" s="36"/>
      <c r="B119" s="3"/>
      <c r="C119" s="3"/>
      <c r="D119" s="35" t="s">
        <v>469</v>
      </c>
      <c r="E119" s="10">
        <f>F119</f>
        <v>0</v>
      </c>
      <c r="F119" s="17"/>
      <c r="G119" s="17"/>
      <c r="H119" s="17"/>
      <c r="I119" s="17"/>
      <c r="J119" s="10">
        <f t="shared" si="16"/>
        <v>0</v>
      </c>
      <c r="K119" s="17"/>
      <c r="L119" s="17"/>
      <c r="M119" s="17"/>
      <c r="N119" s="17"/>
      <c r="O119" s="17">
        <f>K119</f>
        <v>0</v>
      </c>
      <c r="P119" s="13">
        <f t="shared" si="11"/>
        <v>0</v>
      </c>
    </row>
    <row r="120" spans="1:16" s="1" customFormat="1" ht="25.5" hidden="1" x14ac:dyDescent="0.2">
      <c r="A120" s="36"/>
      <c r="B120" s="3"/>
      <c r="C120" s="3"/>
      <c r="D120" s="19" t="s">
        <v>483</v>
      </c>
      <c r="E120" s="10">
        <f>F120</f>
        <v>0</v>
      </c>
      <c r="F120" s="17"/>
      <c r="G120" s="17"/>
      <c r="H120" s="17"/>
      <c r="I120" s="17"/>
      <c r="J120" s="10"/>
      <c r="K120" s="17"/>
      <c r="L120" s="17"/>
      <c r="M120" s="17"/>
      <c r="N120" s="17"/>
      <c r="O120" s="17"/>
      <c r="P120" s="13">
        <f>E120</f>
        <v>0</v>
      </c>
    </row>
    <row r="121" spans="1:16" hidden="1" x14ac:dyDescent="0.2">
      <c r="A121" s="41" t="s">
        <v>220</v>
      </c>
      <c r="B121" s="4" t="s">
        <v>219</v>
      </c>
      <c r="C121" s="4"/>
      <c r="D121" s="14" t="s">
        <v>431</v>
      </c>
      <c r="E121" s="11">
        <f t="shared" ref="E121:E126" si="18">F121+I121</f>
        <v>0</v>
      </c>
      <c r="F121" s="12"/>
      <c r="G121" s="12"/>
      <c r="H121" s="12"/>
      <c r="I121" s="12"/>
      <c r="J121" s="11">
        <f>L121+O121</f>
        <v>0</v>
      </c>
      <c r="K121" s="12"/>
      <c r="L121" s="12"/>
      <c r="M121" s="12"/>
      <c r="N121" s="12">
        <f>N122</f>
        <v>0</v>
      </c>
      <c r="O121" s="12">
        <f t="shared" si="17"/>
        <v>0</v>
      </c>
      <c r="P121" s="13">
        <f t="shared" ref="P121:P151" si="19">E121+J121</f>
        <v>0</v>
      </c>
    </row>
    <row r="122" spans="1:16" ht="25.5" x14ac:dyDescent="0.2">
      <c r="A122" s="41" t="s">
        <v>223</v>
      </c>
      <c r="B122" s="4" t="s">
        <v>222</v>
      </c>
      <c r="C122" s="4" t="s">
        <v>457</v>
      </c>
      <c r="D122" s="14" t="s">
        <v>221</v>
      </c>
      <c r="E122" s="11">
        <f t="shared" si="18"/>
        <v>2309407</v>
      </c>
      <c r="F122" s="12">
        <f>4149100-1792000-46000-200000+198307</f>
        <v>2309407</v>
      </c>
      <c r="G122" s="12"/>
      <c r="H122" s="12"/>
      <c r="I122" s="12"/>
      <c r="J122" s="11">
        <f>L122+O122</f>
        <v>89100</v>
      </c>
      <c r="K122" s="12"/>
      <c r="L122" s="12">
        <v>89100</v>
      </c>
      <c r="M122" s="12"/>
      <c r="N122" s="12"/>
      <c r="O122" s="12">
        <f t="shared" si="17"/>
        <v>0</v>
      </c>
      <c r="P122" s="13">
        <f t="shared" si="19"/>
        <v>2398507</v>
      </c>
    </row>
    <row r="123" spans="1:16" hidden="1" x14ac:dyDescent="0.2">
      <c r="A123" s="41"/>
      <c r="B123" s="4"/>
      <c r="C123" s="4"/>
      <c r="D123" s="35" t="s">
        <v>104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t="25.5" hidden="1" x14ac:dyDescent="0.2">
      <c r="A124" s="41"/>
      <c r="B124" s="4"/>
      <c r="C124" s="4"/>
      <c r="D124" s="35" t="s">
        <v>170</v>
      </c>
      <c r="E124" s="10">
        <f t="shared" si="18"/>
        <v>0</v>
      </c>
      <c r="F124" s="12"/>
      <c r="G124" s="12"/>
      <c r="H124" s="12"/>
      <c r="I124" s="12"/>
      <c r="J124" s="10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s="1" customFormat="1" hidden="1" x14ac:dyDescent="0.2">
      <c r="A125" s="36"/>
      <c r="B125" s="3"/>
      <c r="C125" s="3"/>
      <c r="D125" s="35" t="s">
        <v>104</v>
      </c>
      <c r="E125" s="10">
        <f t="shared" si="18"/>
        <v>0</v>
      </c>
      <c r="F125" s="17"/>
      <c r="G125" s="17"/>
      <c r="H125" s="17"/>
      <c r="I125" s="17"/>
      <c r="J125" s="10">
        <f>L125+O125</f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s="1" customFormat="1" ht="25.5" hidden="1" x14ac:dyDescent="0.2">
      <c r="A126" s="36"/>
      <c r="B126" s="3"/>
      <c r="C126" s="3"/>
      <c r="D126" s="35" t="s">
        <v>469</v>
      </c>
      <c r="E126" s="10">
        <f t="shared" si="18"/>
        <v>0</v>
      </c>
      <c r="F126" s="17"/>
      <c r="G126" s="17"/>
      <c r="H126" s="17"/>
      <c r="I126" s="17"/>
      <c r="J126" s="11">
        <f t="shared" si="16"/>
        <v>0</v>
      </c>
      <c r="K126" s="17"/>
      <c r="L126" s="17"/>
      <c r="M126" s="17"/>
      <c r="N126" s="17"/>
      <c r="O126" s="12">
        <f t="shared" si="17"/>
        <v>0</v>
      </c>
      <c r="P126" s="13">
        <f t="shared" si="19"/>
        <v>0</v>
      </c>
    </row>
    <row r="127" spans="1:16" hidden="1" x14ac:dyDescent="0.2">
      <c r="A127" s="41" t="s">
        <v>218</v>
      </c>
      <c r="B127" s="4" t="s">
        <v>217</v>
      </c>
      <c r="C127" s="4" t="s">
        <v>20</v>
      </c>
      <c r="D127" s="14" t="s">
        <v>216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/>
      <c r="B128" s="4"/>
      <c r="C128" s="4"/>
      <c r="D128" s="35" t="s">
        <v>104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225</v>
      </c>
      <c r="B129" s="4" t="s">
        <v>47</v>
      </c>
      <c r="C129" s="4"/>
      <c r="D129" s="77" t="s">
        <v>224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>
        <f>N130+N131+N135</f>
        <v>0</v>
      </c>
      <c r="O129" s="12">
        <f t="shared" si="17"/>
        <v>0</v>
      </c>
      <c r="P129" s="13">
        <f t="shared" si="19"/>
        <v>0</v>
      </c>
    </row>
    <row r="130" spans="1:16" s="1" customFormat="1" hidden="1" x14ac:dyDescent="0.2">
      <c r="A130" s="36" t="s">
        <v>228</v>
      </c>
      <c r="B130" s="3" t="s">
        <v>227</v>
      </c>
      <c r="C130" s="3" t="s">
        <v>21</v>
      </c>
      <c r="D130" s="19" t="s">
        <v>226</v>
      </c>
      <c r="E130" s="10">
        <f t="shared" si="15"/>
        <v>0</v>
      </c>
      <c r="F130" s="10"/>
      <c r="G130" s="10"/>
      <c r="H130" s="10"/>
      <c r="I130" s="10"/>
      <c r="J130" s="11">
        <f t="shared" si="16"/>
        <v>0</v>
      </c>
      <c r="K130" s="10"/>
      <c r="L130" s="10"/>
      <c r="M130" s="10"/>
      <c r="N130" s="10"/>
      <c r="O130" s="17">
        <f t="shared" si="17"/>
        <v>0</v>
      </c>
      <c r="P130" s="13">
        <f t="shared" si="19"/>
        <v>0</v>
      </c>
    </row>
    <row r="131" spans="1:16" x14ac:dyDescent="0.2">
      <c r="A131" s="41" t="s">
        <v>231</v>
      </c>
      <c r="B131" s="4" t="s">
        <v>230</v>
      </c>
      <c r="C131" s="4" t="s">
        <v>21</v>
      </c>
      <c r="D131" s="21" t="s">
        <v>229</v>
      </c>
      <c r="E131" s="11">
        <f t="shared" si="15"/>
        <v>5981008</v>
      </c>
      <c r="F131" s="11">
        <f>3948808+2032200</f>
        <v>5981008</v>
      </c>
      <c r="G131" s="11"/>
      <c r="H131" s="11"/>
      <c r="I131" s="11"/>
      <c r="J131" s="11">
        <f t="shared" si="16"/>
        <v>0</v>
      </c>
      <c r="K131" s="11"/>
      <c r="L131" s="11"/>
      <c r="M131" s="11"/>
      <c r="N131" s="11"/>
      <c r="O131" s="12">
        <f t="shared" si="17"/>
        <v>0</v>
      </c>
      <c r="P131" s="13">
        <f t="shared" si="19"/>
        <v>5981008</v>
      </c>
    </row>
    <row r="132" spans="1:16" s="1" customFormat="1" ht="25.5" hidden="1" customHeight="1" x14ac:dyDescent="0.2">
      <c r="A132" s="36"/>
      <c r="B132" s="3"/>
      <c r="C132" s="3"/>
      <c r="D132" s="19" t="s">
        <v>592</v>
      </c>
      <c r="E132" s="10">
        <f t="shared" si="15"/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hidden="1" x14ac:dyDescent="0.2">
      <c r="A133" s="36"/>
      <c r="B133" s="3"/>
      <c r="C133" s="3"/>
      <c r="D133" s="19" t="s">
        <v>586</v>
      </c>
      <c r="E133" s="10">
        <f>F133</f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x14ac:dyDescent="0.2">
      <c r="A134" s="36"/>
      <c r="B134" s="3"/>
      <c r="C134" s="3"/>
      <c r="D134" s="19" t="s">
        <v>647</v>
      </c>
      <c r="E134" s="10">
        <f>F134</f>
        <v>5981008</v>
      </c>
      <c r="F134" s="10">
        <f>F131</f>
        <v>5981008</v>
      </c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5981008</v>
      </c>
    </row>
    <row r="135" spans="1:16" s="1" customFormat="1" hidden="1" x14ac:dyDescent="0.2">
      <c r="A135" s="36" t="s">
        <v>234</v>
      </c>
      <c r="B135" s="3" t="s">
        <v>233</v>
      </c>
      <c r="C135" s="3" t="s">
        <v>21</v>
      </c>
      <c r="D135" s="19" t="s">
        <v>232</v>
      </c>
      <c r="E135" s="10">
        <f>F135+I135</f>
        <v>0</v>
      </c>
      <c r="F135" s="10"/>
      <c r="G135" s="10"/>
      <c r="H135" s="10"/>
      <c r="I135" s="10"/>
      <c r="J135" s="11">
        <f t="shared" si="16"/>
        <v>0</v>
      </c>
      <c r="K135" s="10"/>
      <c r="L135" s="10"/>
      <c r="M135" s="10"/>
      <c r="N135" s="10"/>
      <c r="O135" s="17">
        <f>K135</f>
        <v>0</v>
      </c>
      <c r="P135" s="13">
        <f t="shared" si="19"/>
        <v>0</v>
      </c>
    </row>
    <row r="136" spans="1:16" s="1" customFormat="1" hidden="1" x14ac:dyDescent="0.2">
      <c r="A136" s="36"/>
      <c r="B136" s="3"/>
      <c r="C136" s="3"/>
      <c r="D136" s="19" t="s">
        <v>104</v>
      </c>
      <c r="E136" s="10">
        <f t="shared" si="15"/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s="1" customFormat="1" ht="38.25" hidden="1" x14ac:dyDescent="0.2">
      <c r="A137" s="36"/>
      <c r="B137" s="3"/>
      <c r="C137" s="3"/>
      <c r="D137" s="19" t="s">
        <v>484</v>
      </c>
      <c r="E137" s="10"/>
      <c r="F137" s="10"/>
      <c r="G137" s="10"/>
      <c r="H137" s="10"/>
      <c r="I137" s="10"/>
      <c r="J137" s="11"/>
      <c r="K137" s="10"/>
      <c r="L137" s="10"/>
      <c r="M137" s="10"/>
      <c r="N137" s="10"/>
      <c r="O137" s="17"/>
      <c r="P137" s="13">
        <f t="shared" si="19"/>
        <v>0</v>
      </c>
    </row>
    <row r="138" spans="1:16" hidden="1" x14ac:dyDescent="0.2">
      <c r="A138" s="41" t="s">
        <v>237</v>
      </c>
      <c r="B138" s="4" t="s">
        <v>236</v>
      </c>
      <c r="C138" s="4"/>
      <c r="D138" s="14" t="s">
        <v>235</v>
      </c>
      <c r="E138" s="11">
        <f t="shared" si="15"/>
        <v>0</v>
      </c>
      <c r="F138" s="12"/>
      <c r="G138" s="12"/>
      <c r="H138" s="12"/>
      <c r="I138" s="12"/>
      <c r="J138" s="11">
        <f t="shared" si="16"/>
        <v>0</v>
      </c>
      <c r="K138" s="12"/>
      <c r="L138" s="12"/>
      <c r="M138" s="12"/>
      <c r="N138" s="12"/>
      <c r="O138" s="12">
        <f>K138</f>
        <v>0</v>
      </c>
      <c r="P138" s="13">
        <f t="shared" si="19"/>
        <v>0</v>
      </c>
    </row>
    <row r="139" spans="1:16" x14ac:dyDescent="0.2">
      <c r="A139" s="41" t="s">
        <v>404</v>
      </c>
      <c r="B139" s="4" t="s">
        <v>402</v>
      </c>
      <c r="C139" s="4" t="s">
        <v>21</v>
      </c>
      <c r="D139" s="14" t="s">
        <v>406</v>
      </c>
      <c r="E139" s="11">
        <f t="shared" si="15"/>
        <v>2981690</v>
      </c>
      <c r="F139" s="12">
        <f>2931800+49890</f>
        <v>2981690</v>
      </c>
      <c r="G139" s="12"/>
      <c r="H139" s="12"/>
      <c r="I139" s="12"/>
      <c r="J139" s="11">
        <f t="shared" si="16"/>
        <v>69417</v>
      </c>
      <c r="K139" s="12">
        <v>49860</v>
      </c>
      <c r="L139" s="12">
        <v>19557</v>
      </c>
      <c r="M139" s="12"/>
      <c r="N139" s="12"/>
      <c r="O139" s="12">
        <f>K139</f>
        <v>49860</v>
      </c>
      <c r="P139" s="13">
        <f t="shared" si="19"/>
        <v>3051107</v>
      </c>
    </row>
    <row r="140" spans="1:16" x14ac:dyDescent="0.2">
      <c r="A140" s="41" t="s">
        <v>405</v>
      </c>
      <c r="B140" s="4" t="s">
        <v>403</v>
      </c>
      <c r="C140" s="4" t="s">
        <v>21</v>
      </c>
      <c r="D140" s="14" t="s">
        <v>407</v>
      </c>
      <c r="E140" s="11">
        <f t="shared" si="15"/>
        <v>5186400</v>
      </c>
      <c r="F140" s="12">
        <f>7170000-1983600</f>
        <v>5186400</v>
      </c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5186400</v>
      </c>
    </row>
    <row r="141" spans="1:16" ht="12.75" hidden="1" customHeight="1" x14ac:dyDescent="0.2">
      <c r="A141" s="41"/>
      <c r="B141" s="4"/>
      <c r="C141" s="4"/>
      <c r="D141" s="35" t="s">
        <v>104</v>
      </c>
      <c r="E141" s="11">
        <f t="shared" si="15"/>
        <v>0</v>
      </c>
      <c r="F141" s="12"/>
      <c r="G141" s="12"/>
      <c r="H141" s="12"/>
      <c r="I141" s="12"/>
      <c r="J141" s="10">
        <f t="shared" si="16"/>
        <v>0</v>
      </c>
      <c r="K141" s="12"/>
      <c r="L141" s="12"/>
      <c r="M141" s="12"/>
      <c r="N141" s="12"/>
      <c r="O141" s="17">
        <f>K141</f>
        <v>0</v>
      </c>
      <c r="P141" s="16">
        <f t="shared" si="19"/>
        <v>0</v>
      </c>
    </row>
    <row r="142" spans="1:16" s="1" customFormat="1" hidden="1" x14ac:dyDescent="0.2">
      <c r="A142" s="36"/>
      <c r="B142" s="3"/>
      <c r="C142" s="3"/>
      <c r="D142" s="35" t="s">
        <v>485</v>
      </c>
      <c r="E142" s="10">
        <f>F142</f>
        <v>0</v>
      </c>
      <c r="F142" s="17"/>
      <c r="G142" s="17"/>
      <c r="H142" s="17"/>
      <c r="I142" s="17"/>
      <c r="J142" s="10">
        <f t="shared" si="16"/>
        <v>0</v>
      </c>
      <c r="K142" s="17"/>
      <c r="L142" s="17"/>
      <c r="M142" s="17"/>
      <c r="N142" s="17"/>
      <c r="O142" s="17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35" t="s">
        <v>469</v>
      </c>
      <c r="E143" s="10">
        <f t="shared" ref="E143:E148" si="20">F143</f>
        <v>0</v>
      </c>
      <c r="F143" s="17"/>
      <c r="G143" s="17"/>
      <c r="H143" s="17"/>
      <c r="I143" s="17"/>
      <c r="J143" s="10"/>
      <c r="K143" s="17"/>
      <c r="L143" s="17"/>
      <c r="M143" s="17"/>
      <c r="N143" s="17"/>
      <c r="O143" s="17"/>
      <c r="P143" s="16">
        <f t="shared" si="19"/>
        <v>0</v>
      </c>
    </row>
    <row r="144" spans="1:16" ht="25.5" hidden="1" x14ac:dyDescent="0.2">
      <c r="A144" s="41" t="s">
        <v>506</v>
      </c>
      <c r="B144" s="4" t="s">
        <v>494</v>
      </c>
      <c r="C144" s="4"/>
      <c r="D144" s="23" t="s">
        <v>509</v>
      </c>
      <c r="E144" s="10">
        <f t="shared" si="20"/>
        <v>0</v>
      </c>
      <c r="F144" s="11"/>
      <c r="G144" s="11"/>
      <c r="H144" s="11"/>
      <c r="I144" s="11"/>
      <c r="J144" s="11">
        <f t="shared" ref="J144:O144" si="21">J145+J149</f>
        <v>1555197</v>
      </c>
      <c r="K144" s="11"/>
      <c r="L144" s="11"/>
      <c r="M144" s="11"/>
      <c r="N144" s="11">
        <f t="shared" si="21"/>
        <v>0</v>
      </c>
      <c r="O144" s="11">
        <f t="shared" si="21"/>
        <v>1555197</v>
      </c>
      <c r="P144" s="16">
        <f t="shared" si="19"/>
        <v>1555197</v>
      </c>
    </row>
    <row r="145" spans="1:18" s="1" customFormat="1" ht="25.5" hidden="1" x14ac:dyDescent="0.2">
      <c r="A145" s="36" t="s">
        <v>517</v>
      </c>
      <c r="B145" s="3" t="s">
        <v>518</v>
      </c>
      <c r="C145" s="3" t="s">
        <v>135</v>
      </c>
      <c r="D145" s="78" t="s">
        <v>519</v>
      </c>
      <c r="E145" s="10">
        <f t="shared" si="20"/>
        <v>0</v>
      </c>
      <c r="F145" s="10"/>
      <c r="G145" s="10"/>
      <c r="H145" s="10"/>
      <c r="I145" s="10"/>
      <c r="J145" s="11">
        <f t="shared" si="16"/>
        <v>0</v>
      </c>
      <c r="K145" s="11"/>
      <c r="L145" s="11"/>
      <c r="M145" s="11"/>
      <c r="N145" s="11"/>
      <c r="O145" s="12">
        <f>K145</f>
        <v>0</v>
      </c>
      <c r="P145" s="16">
        <f t="shared" si="19"/>
        <v>0</v>
      </c>
    </row>
    <row r="146" spans="1:18" s="1" customFormat="1" ht="25.5" hidden="1" x14ac:dyDescent="0.2">
      <c r="A146" s="36"/>
      <c r="B146" s="3"/>
      <c r="C146" s="3"/>
      <c r="D146" s="69" t="s">
        <v>520</v>
      </c>
      <c r="E146" s="10">
        <f t="shared" si="20"/>
        <v>0</v>
      </c>
      <c r="F146" s="10"/>
      <c r="G146" s="10"/>
      <c r="H146" s="10"/>
      <c r="I146" s="10"/>
      <c r="J146" s="10">
        <f t="shared" si="16"/>
        <v>0</v>
      </c>
      <c r="K146" s="10"/>
      <c r="L146" s="10"/>
      <c r="M146" s="10"/>
      <c r="N146" s="10"/>
      <c r="O146" s="17">
        <f>K146</f>
        <v>0</v>
      </c>
      <c r="P146" s="16">
        <f t="shared" si="19"/>
        <v>0</v>
      </c>
    </row>
    <row r="147" spans="1:18" hidden="1" x14ac:dyDescent="0.2">
      <c r="A147" s="41" t="s">
        <v>593</v>
      </c>
      <c r="B147" s="4" t="s">
        <v>419</v>
      </c>
      <c r="C147" s="4" t="s">
        <v>130</v>
      </c>
      <c r="D147" s="72" t="s">
        <v>418</v>
      </c>
      <c r="E147" s="11">
        <f t="shared" si="20"/>
        <v>0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2"/>
      <c r="P147" s="13">
        <f t="shared" si="19"/>
        <v>0</v>
      </c>
    </row>
    <row r="148" spans="1:18" s="1" customFormat="1" hidden="1" x14ac:dyDescent="0.2">
      <c r="A148" s="36"/>
      <c r="B148" s="3"/>
      <c r="C148" s="3"/>
      <c r="D148" s="70" t="s">
        <v>485</v>
      </c>
      <c r="E148" s="10">
        <f t="shared" si="20"/>
        <v>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7"/>
      <c r="P148" s="16">
        <f t="shared" si="19"/>
        <v>0</v>
      </c>
    </row>
    <row r="149" spans="1:18" s="1" customFormat="1" ht="25.5" x14ac:dyDescent="0.2">
      <c r="A149" s="36" t="s">
        <v>507</v>
      </c>
      <c r="B149" s="3" t="s">
        <v>508</v>
      </c>
      <c r="C149" s="3" t="s">
        <v>135</v>
      </c>
      <c r="D149" s="77" t="s">
        <v>511</v>
      </c>
      <c r="E149" s="10">
        <f>F149</f>
        <v>0</v>
      </c>
      <c r="F149" s="17"/>
      <c r="G149" s="17"/>
      <c r="H149" s="17"/>
      <c r="I149" s="17"/>
      <c r="J149" s="11">
        <f t="shared" si="16"/>
        <v>1555197</v>
      </c>
      <c r="K149" s="12">
        <f>1162000+347197+46000</f>
        <v>1555197</v>
      </c>
      <c r="L149" s="12"/>
      <c r="M149" s="12"/>
      <c r="N149" s="12"/>
      <c r="O149" s="12">
        <f>K149</f>
        <v>1555197</v>
      </c>
      <c r="P149" s="16">
        <f t="shared" si="19"/>
        <v>1555197</v>
      </c>
    </row>
    <row r="150" spans="1:18" s="1" customFormat="1" ht="25.5" x14ac:dyDescent="0.2">
      <c r="A150" s="36"/>
      <c r="B150" s="3"/>
      <c r="C150" s="3"/>
      <c r="D150" s="35" t="s">
        <v>512</v>
      </c>
      <c r="E150" s="10">
        <f>F150</f>
        <v>0</v>
      </c>
      <c r="F150" s="17"/>
      <c r="G150" s="17"/>
      <c r="H150" s="17"/>
      <c r="I150" s="17"/>
      <c r="J150" s="10">
        <f t="shared" si="16"/>
        <v>347197</v>
      </c>
      <c r="K150" s="17">
        <v>347197</v>
      </c>
      <c r="L150" s="17"/>
      <c r="M150" s="17"/>
      <c r="N150" s="17"/>
      <c r="O150" s="17">
        <f>K150</f>
        <v>347197</v>
      </c>
      <c r="P150" s="16">
        <f t="shared" si="19"/>
        <v>347197</v>
      </c>
    </row>
    <row r="151" spans="1:18" s="1" customFormat="1" hidden="1" x14ac:dyDescent="0.2">
      <c r="A151" s="36" t="s">
        <v>591</v>
      </c>
      <c r="B151" s="3"/>
      <c r="C151" s="3"/>
      <c r="D151" s="72"/>
      <c r="E151" s="10">
        <f>F151</f>
        <v>0</v>
      </c>
      <c r="F151" s="17"/>
      <c r="G151" s="17"/>
      <c r="H151" s="17"/>
      <c r="I151" s="17"/>
      <c r="J151" s="10">
        <f>L151+O151</f>
        <v>0</v>
      </c>
      <c r="K151" s="17"/>
      <c r="L151" s="17"/>
      <c r="M151" s="17"/>
      <c r="N151" s="17"/>
      <c r="O151" s="17">
        <f>K151</f>
        <v>0</v>
      </c>
      <c r="P151" s="16">
        <f t="shared" si="19"/>
        <v>0</v>
      </c>
    </row>
    <row r="152" spans="1:18" ht="25.5" x14ac:dyDescent="0.2">
      <c r="A152" s="62" t="s">
        <v>181</v>
      </c>
      <c r="B152" s="6"/>
      <c r="C152" s="7"/>
      <c r="D152" s="31" t="s">
        <v>22</v>
      </c>
      <c r="E152" s="25">
        <f>E154</f>
        <v>50804709</v>
      </c>
      <c r="F152" s="25">
        <f t="shared" ref="F152:P152" si="22">F154</f>
        <v>50804709</v>
      </c>
      <c r="G152" s="25">
        <f t="shared" si="22"/>
        <v>23047633</v>
      </c>
      <c r="H152" s="25">
        <f t="shared" si="22"/>
        <v>472497</v>
      </c>
      <c r="I152" s="25">
        <f t="shared" si="22"/>
        <v>0</v>
      </c>
      <c r="J152" s="25">
        <f t="shared" si="22"/>
        <v>2625871</v>
      </c>
      <c r="K152" s="25">
        <f>K154</f>
        <v>1970000</v>
      </c>
      <c r="L152" s="25">
        <f t="shared" si="22"/>
        <v>655871</v>
      </c>
      <c r="M152" s="25">
        <f t="shared" si="22"/>
        <v>38353</v>
      </c>
      <c r="N152" s="25">
        <f t="shared" si="22"/>
        <v>431800</v>
      </c>
      <c r="O152" s="25">
        <f t="shared" si="22"/>
        <v>1970000</v>
      </c>
      <c r="P152" s="25">
        <f t="shared" si="22"/>
        <v>53430580</v>
      </c>
      <c r="R152" s="34"/>
    </row>
    <row r="153" spans="1:18" s="1" customFormat="1" ht="38.25" x14ac:dyDescent="0.2">
      <c r="A153" s="36"/>
      <c r="B153" s="18"/>
      <c r="C153" s="3"/>
      <c r="D153" s="15" t="s">
        <v>10</v>
      </c>
      <c r="E153" s="17">
        <f>E222+E235</f>
        <v>362699</v>
      </c>
      <c r="F153" s="17">
        <f>F222+F235</f>
        <v>362699</v>
      </c>
      <c r="G153" s="17"/>
      <c r="H153" s="17"/>
      <c r="I153" s="17"/>
      <c r="J153" s="17">
        <f t="shared" ref="J153:O153" si="23">J235</f>
        <v>1500000</v>
      </c>
      <c r="K153" s="17">
        <f t="shared" si="23"/>
        <v>1500000</v>
      </c>
      <c r="L153" s="17">
        <f t="shared" si="23"/>
        <v>0</v>
      </c>
      <c r="M153" s="17">
        <f t="shared" si="23"/>
        <v>0</v>
      </c>
      <c r="N153" s="17">
        <f t="shared" si="23"/>
        <v>0</v>
      </c>
      <c r="O153" s="17">
        <f t="shared" si="23"/>
        <v>1500000</v>
      </c>
      <c r="P153" s="17">
        <f t="shared" ref="P153:P171" si="24">E153+J153</f>
        <v>1862699</v>
      </c>
    </row>
    <row r="154" spans="1:18" ht="25.5" x14ac:dyDescent="0.2">
      <c r="A154" s="41" t="s">
        <v>238</v>
      </c>
      <c r="B154" s="8"/>
      <c r="C154" s="7"/>
      <c r="D154" s="15" t="s">
        <v>22</v>
      </c>
      <c r="E154" s="13">
        <f t="shared" ref="E154:E197" si="25">F154+I154</f>
        <v>50804709</v>
      </c>
      <c r="F154" s="25">
        <f>F155+F157+F159+F164+F166+F173+F174+F175+F176+F178+F180+F182+F184+F186+F188+F190+F194+F198+F200+F202+F204+F206+F208+F211+F213+F214+F216+F217+F219+F221+F223+F226+F227+F232+F236+F238+F234</f>
        <v>50804709</v>
      </c>
      <c r="G154" s="25">
        <f>G155+G157+G159+G164+G166+G173+G174+G175+G176+G178+G180+G182+G184+G186+G188+G190+G194+G198+G200+G202+G204+G206+G208+G211+G213+G214+G216+G217+G219+G221+G223+G226+G227+G232+G236+G238</f>
        <v>23047633</v>
      </c>
      <c r="H154" s="25">
        <f>H155+H157+H159+H164+H166+H173+H174+H175+H176+H178+H180+H182+H184+H186+H188+H190+H194+H198+H200+H202+H204+H206+H208+H211+H213+H214+H216+H217+H219+H221+H223+H226+H227+H232+H236+H238</f>
        <v>472497</v>
      </c>
      <c r="I154" s="25">
        <f>I155+I157+I159+I164+I166+I173+I174+I175+I176+I178+I180+I182+I184+I186+I188+I190+I194+I198+I200+I202+I204+I206+I208+I211+I213+I214+I216+I217+I219+I221+I223+I226+I227+I232+I236+I238</f>
        <v>0</v>
      </c>
      <c r="J154" s="25">
        <f>J155+J213+J236+J234</f>
        <v>2625871</v>
      </c>
      <c r="K154" s="25">
        <f>K155+K236+K234</f>
        <v>1970000</v>
      </c>
      <c r="L154" s="25">
        <f>L213</f>
        <v>655871</v>
      </c>
      <c r="M154" s="25">
        <f>M213</f>
        <v>38353</v>
      </c>
      <c r="N154" s="25">
        <f>N213</f>
        <v>431800</v>
      </c>
      <c r="O154" s="25">
        <f>O155+O156+O163+O172+O177+O196+O210+O215+O218+O221+O223+O225+O227+O232+O234+O237+O229+O236</f>
        <v>1970000</v>
      </c>
      <c r="P154" s="13">
        <f t="shared" si="24"/>
        <v>53430580</v>
      </c>
    </row>
    <row r="155" spans="1:18" ht="25.5" x14ac:dyDescent="0.2">
      <c r="A155" s="41" t="s">
        <v>239</v>
      </c>
      <c r="B155" s="4" t="s">
        <v>201</v>
      </c>
      <c r="C155" s="4" t="s">
        <v>129</v>
      </c>
      <c r="D155" s="14" t="s">
        <v>613</v>
      </c>
      <c r="E155" s="11">
        <f t="shared" si="25"/>
        <v>25939410</v>
      </c>
      <c r="F155" s="12">
        <f>25884200+55210</f>
        <v>25939410</v>
      </c>
      <c r="G155" s="12">
        <f>21310000-1367600</f>
        <v>19942400</v>
      </c>
      <c r="H155" s="12">
        <f>306600+55210</f>
        <v>361810</v>
      </c>
      <c r="I155" s="12"/>
      <c r="J155" s="11">
        <f t="shared" ref="J155:J197" si="26">L155+O155</f>
        <v>100000</v>
      </c>
      <c r="K155" s="12">
        <v>100000</v>
      </c>
      <c r="L155" s="12"/>
      <c r="M155" s="12"/>
      <c r="N155" s="12"/>
      <c r="O155" s="12">
        <f>K155</f>
        <v>100000</v>
      </c>
      <c r="P155" s="13">
        <f t="shared" si="24"/>
        <v>26039410</v>
      </c>
    </row>
    <row r="156" spans="1:18" ht="38.25" hidden="1" x14ac:dyDescent="0.2">
      <c r="A156" s="41" t="s">
        <v>240</v>
      </c>
      <c r="B156" s="8" t="s">
        <v>159</v>
      </c>
      <c r="C156" s="20"/>
      <c r="D156" s="5" t="s">
        <v>106</v>
      </c>
      <c r="E156" s="11">
        <f t="shared" si="25"/>
        <v>0</v>
      </c>
      <c r="F156" s="12"/>
      <c r="G156" s="12"/>
      <c r="H156" s="12"/>
      <c r="I156" s="12">
        <f t="shared" ref="I156:O156" si="27">I157+I159</f>
        <v>0</v>
      </c>
      <c r="J156" s="12">
        <f t="shared" si="27"/>
        <v>0</v>
      </c>
      <c r="K156" s="12"/>
      <c r="L156" s="12"/>
      <c r="M156" s="12"/>
      <c r="N156" s="12"/>
      <c r="O156" s="12">
        <f t="shared" si="27"/>
        <v>0</v>
      </c>
      <c r="P156" s="13">
        <f t="shared" si="24"/>
        <v>0</v>
      </c>
    </row>
    <row r="157" spans="1:18" s="1" customFormat="1" ht="25.5" hidden="1" x14ac:dyDescent="0.2">
      <c r="A157" s="36" t="s">
        <v>242</v>
      </c>
      <c r="B157" s="18" t="s">
        <v>48</v>
      </c>
      <c r="C157" s="79" t="s">
        <v>131</v>
      </c>
      <c r="D157" s="80" t="s">
        <v>241</v>
      </c>
      <c r="E157" s="11">
        <f t="shared" si="25"/>
        <v>0</v>
      </c>
      <c r="F157" s="17"/>
      <c r="G157" s="17"/>
      <c r="H157" s="17"/>
      <c r="I157" s="17"/>
      <c r="J157" s="11">
        <f t="shared" si="26"/>
        <v>0</v>
      </c>
      <c r="K157" s="17"/>
      <c r="L157" s="17"/>
      <c r="M157" s="17"/>
      <c r="N157" s="17"/>
      <c r="O157" s="17"/>
      <c r="P157" s="13">
        <f t="shared" si="24"/>
        <v>0</v>
      </c>
    </row>
    <row r="158" spans="1:18" ht="66.75" hidden="1" customHeight="1" x14ac:dyDescent="0.2">
      <c r="A158" s="41"/>
      <c r="B158" s="8"/>
      <c r="C158" s="81"/>
      <c r="D158" s="5" t="s">
        <v>427</v>
      </c>
      <c r="E158" s="11">
        <f t="shared" si="25"/>
        <v>0</v>
      </c>
      <c r="F158" s="12"/>
      <c r="G158" s="12"/>
      <c r="H158" s="12"/>
      <c r="I158" s="12"/>
      <c r="J158" s="11">
        <f t="shared" si="26"/>
        <v>0</v>
      </c>
      <c r="K158" s="12"/>
      <c r="L158" s="12"/>
      <c r="M158" s="12"/>
      <c r="N158" s="12"/>
      <c r="O158" s="12"/>
      <c r="P158" s="13">
        <f t="shared" si="24"/>
        <v>0</v>
      </c>
    </row>
    <row r="159" spans="1:18" s="1" customFormat="1" ht="25.5" hidden="1" x14ac:dyDescent="0.2">
      <c r="A159" s="36" t="s">
        <v>243</v>
      </c>
      <c r="B159" s="18" t="s">
        <v>49</v>
      </c>
      <c r="C159" s="79" t="s">
        <v>69</v>
      </c>
      <c r="D159" s="19" t="s">
        <v>108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7.5" hidden="1" customHeight="1" x14ac:dyDescent="0.2">
      <c r="A160" s="41"/>
      <c r="B160" s="8"/>
      <c r="C160" s="81"/>
      <c r="D160" s="5" t="s">
        <v>427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ht="25.5" hidden="1" x14ac:dyDescent="0.2">
      <c r="A161" s="41">
        <v>1513017</v>
      </c>
      <c r="B161" s="8" t="s">
        <v>70</v>
      </c>
      <c r="C161" s="20" t="s">
        <v>69</v>
      </c>
      <c r="D161" s="5" t="s">
        <v>71</v>
      </c>
      <c r="E161" s="11">
        <f t="shared" si="25"/>
        <v>0</v>
      </c>
      <c r="F161" s="12"/>
      <c r="G161" s="12"/>
      <c r="H161" s="12"/>
      <c r="I161" s="12"/>
      <c r="J161" s="11">
        <f t="shared" si="26"/>
        <v>0</v>
      </c>
      <c r="K161" s="12"/>
      <c r="L161" s="12"/>
      <c r="M161" s="12"/>
      <c r="N161" s="12"/>
      <c r="O161" s="12"/>
      <c r="P161" s="13">
        <f t="shared" si="24"/>
        <v>0</v>
      </c>
    </row>
    <row r="162" spans="1:16" ht="51" hidden="1" x14ac:dyDescent="0.2">
      <c r="A162" s="41"/>
      <c r="B162" s="8"/>
      <c r="C162" s="20"/>
      <c r="D162" s="5" t="s">
        <v>23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 t="s">
        <v>244</v>
      </c>
      <c r="B163" s="8" t="s">
        <v>160</v>
      </c>
      <c r="C163" s="20"/>
      <c r="D163" s="5" t="s">
        <v>109</v>
      </c>
      <c r="E163" s="11">
        <f t="shared" si="25"/>
        <v>0</v>
      </c>
      <c r="F163" s="12"/>
      <c r="G163" s="12"/>
      <c r="H163" s="12"/>
      <c r="I163" s="12">
        <f>I164+I166+I168</f>
        <v>0</v>
      </c>
      <c r="J163" s="11">
        <f t="shared" si="26"/>
        <v>0</v>
      </c>
      <c r="K163" s="12"/>
      <c r="L163" s="12"/>
      <c r="M163" s="12"/>
      <c r="N163" s="12"/>
      <c r="O163" s="12">
        <f>O164+O166+O168</f>
        <v>0</v>
      </c>
      <c r="P163" s="13">
        <f t="shared" si="24"/>
        <v>0</v>
      </c>
    </row>
    <row r="164" spans="1:16" s="1" customFormat="1" ht="25.5" hidden="1" x14ac:dyDescent="0.2">
      <c r="A164" s="36" t="s">
        <v>246</v>
      </c>
      <c r="B164" s="18" t="s">
        <v>50</v>
      </c>
      <c r="C164" s="79" t="s">
        <v>131</v>
      </c>
      <c r="D164" s="15" t="s">
        <v>245</v>
      </c>
      <c r="E164" s="11">
        <f t="shared" si="25"/>
        <v>0</v>
      </c>
      <c r="F164" s="17"/>
      <c r="G164" s="17"/>
      <c r="H164" s="17"/>
      <c r="I164" s="17"/>
      <c r="J164" s="11">
        <f t="shared" si="26"/>
        <v>0</v>
      </c>
      <c r="K164" s="17"/>
      <c r="L164" s="17"/>
      <c r="M164" s="17"/>
      <c r="N164" s="17"/>
      <c r="O164" s="17"/>
      <c r="P164" s="13">
        <f t="shared" si="24"/>
        <v>0</v>
      </c>
    </row>
    <row r="165" spans="1:16" ht="42.75" hidden="1" customHeight="1" x14ac:dyDescent="0.2">
      <c r="A165" s="41"/>
      <c r="B165" s="8"/>
      <c r="C165" s="81"/>
      <c r="D165" s="5" t="s">
        <v>428</v>
      </c>
      <c r="E165" s="11">
        <f t="shared" si="25"/>
        <v>0</v>
      </c>
      <c r="F165" s="12"/>
      <c r="G165" s="12"/>
      <c r="H165" s="12"/>
      <c r="I165" s="12"/>
      <c r="J165" s="11">
        <f t="shared" si="26"/>
        <v>0</v>
      </c>
      <c r="K165" s="12"/>
      <c r="L165" s="12"/>
      <c r="M165" s="12"/>
      <c r="N165" s="12"/>
      <c r="O165" s="12"/>
      <c r="P165" s="13">
        <f t="shared" si="24"/>
        <v>0</v>
      </c>
    </row>
    <row r="166" spans="1:16" s="1" customFormat="1" ht="25.5" hidden="1" x14ac:dyDescent="0.2">
      <c r="A166" s="36" t="s">
        <v>247</v>
      </c>
      <c r="B166" s="18" t="s">
        <v>51</v>
      </c>
      <c r="C166" s="79" t="s">
        <v>69</v>
      </c>
      <c r="D166" s="19" t="s">
        <v>110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" hidden="1" customHeight="1" x14ac:dyDescent="0.2">
      <c r="A167" s="41"/>
      <c r="B167" s="8"/>
      <c r="C167" s="81"/>
      <c r="D167" s="5" t="s">
        <v>428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idden="1" x14ac:dyDescent="0.2">
      <c r="A168" s="36" t="s">
        <v>249</v>
      </c>
      <c r="B168" s="18" t="s">
        <v>52</v>
      </c>
      <c r="C168" s="79" t="s">
        <v>69</v>
      </c>
      <c r="D168" s="19" t="s">
        <v>248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38.25" hidden="1" x14ac:dyDescent="0.2">
      <c r="A169" s="41"/>
      <c r="B169" s="8"/>
      <c r="C169" s="81"/>
      <c r="D169" s="5" t="s">
        <v>38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ht="38.25" hidden="1" x14ac:dyDescent="0.2">
      <c r="A170" s="41">
        <v>1513028</v>
      </c>
      <c r="B170" s="8" t="s">
        <v>73</v>
      </c>
      <c r="C170" s="4" t="s">
        <v>69</v>
      </c>
      <c r="D170" s="23" t="s">
        <v>111</v>
      </c>
      <c r="E170" s="11">
        <f t="shared" si="25"/>
        <v>0</v>
      </c>
      <c r="F170" s="12"/>
      <c r="G170" s="12"/>
      <c r="H170" s="12"/>
      <c r="I170" s="12"/>
      <c r="J170" s="11">
        <f t="shared" si="26"/>
        <v>0</v>
      </c>
      <c r="K170" s="12"/>
      <c r="L170" s="12"/>
      <c r="M170" s="12"/>
      <c r="N170" s="12"/>
      <c r="O170" s="12"/>
      <c r="P170" s="13">
        <f t="shared" si="24"/>
        <v>0</v>
      </c>
    </row>
    <row r="171" spans="1:16" ht="38.25" hidden="1" x14ac:dyDescent="0.2">
      <c r="A171" s="41"/>
      <c r="B171" s="8"/>
      <c r="C171" s="4"/>
      <c r="D171" s="5" t="s">
        <v>38</v>
      </c>
      <c r="E171" s="11">
        <f t="shared" si="25"/>
        <v>0</v>
      </c>
      <c r="F171" s="12"/>
      <c r="G171" s="12"/>
      <c r="H171" s="12"/>
      <c r="I171" s="12">
        <f>I170</f>
        <v>0</v>
      </c>
      <c r="J171" s="11">
        <f t="shared" si="26"/>
        <v>0</v>
      </c>
      <c r="K171" s="12"/>
      <c r="L171" s="12"/>
      <c r="M171" s="12"/>
      <c r="N171" s="12"/>
      <c r="O171" s="12">
        <f>O170</f>
        <v>0</v>
      </c>
      <c r="P171" s="13">
        <f t="shared" si="24"/>
        <v>0</v>
      </c>
    </row>
    <row r="172" spans="1:16" ht="38.25" hidden="1" x14ac:dyDescent="0.2">
      <c r="A172" s="41" t="s">
        <v>251</v>
      </c>
      <c r="B172" s="8" t="s">
        <v>165</v>
      </c>
      <c r="C172" s="4"/>
      <c r="D172" s="5" t="s">
        <v>250</v>
      </c>
      <c r="E172" s="11">
        <f>SUM(E173:E176)</f>
        <v>796200</v>
      </c>
      <c r="F172" s="11"/>
      <c r="G172" s="11"/>
      <c r="H172" s="11"/>
      <c r="I172" s="11">
        <f>SUM(I173:I176)</f>
        <v>0</v>
      </c>
      <c r="J172" s="11">
        <f>SUM(J173:J176)</f>
        <v>0</v>
      </c>
      <c r="K172" s="11"/>
      <c r="L172" s="11"/>
      <c r="M172" s="11"/>
      <c r="N172" s="11"/>
      <c r="O172" s="11">
        <f>SUM(O173:O176)</f>
        <v>0</v>
      </c>
      <c r="P172" s="13">
        <f>SUM(P173:P176)</f>
        <v>796200</v>
      </c>
    </row>
    <row r="173" spans="1:16" x14ac:dyDescent="0.2">
      <c r="A173" s="41" t="s">
        <v>253</v>
      </c>
      <c r="B173" s="8" t="s">
        <v>166</v>
      </c>
      <c r="C173" s="4" t="s">
        <v>131</v>
      </c>
      <c r="D173" s="5" t="s">
        <v>252</v>
      </c>
      <c r="E173" s="11">
        <f>F173+I173</f>
        <v>184200</v>
      </c>
      <c r="F173" s="12">
        <v>184200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ref="P173:P239" si="28">E173+J173</f>
        <v>184200</v>
      </c>
    </row>
    <row r="174" spans="1:16" x14ac:dyDescent="0.2">
      <c r="A174" s="41" t="s">
        <v>255</v>
      </c>
      <c r="B174" s="8" t="s">
        <v>254</v>
      </c>
      <c r="C174" s="4" t="s">
        <v>37</v>
      </c>
      <c r="D174" s="5" t="s">
        <v>168</v>
      </c>
      <c r="E174" s="11">
        <f>F174+I174</f>
        <v>12000</v>
      </c>
      <c r="F174" s="12">
        <v>12000</v>
      </c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8"/>
        <v>12000</v>
      </c>
    </row>
    <row r="175" spans="1:16" ht="25.5" hidden="1" x14ac:dyDescent="0.2">
      <c r="A175" s="41" t="s">
        <v>257</v>
      </c>
      <c r="B175" s="8" t="s">
        <v>167</v>
      </c>
      <c r="C175" s="4" t="s">
        <v>37</v>
      </c>
      <c r="D175" s="5" t="s">
        <v>256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8"/>
        <v>0</v>
      </c>
    </row>
    <row r="176" spans="1:16" ht="25.5" x14ac:dyDescent="0.2">
      <c r="A176" s="41" t="s">
        <v>259</v>
      </c>
      <c r="B176" s="8" t="s">
        <v>258</v>
      </c>
      <c r="C176" s="4" t="s">
        <v>37</v>
      </c>
      <c r="D176" s="5" t="s">
        <v>169</v>
      </c>
      <c r="E176" s="11">
        <f>F176+I176</f>
        <v>600000</v>
      </c>
      <c r="F176" s="12">
        <v>600000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600000</v>
      </c>
    </row>
    <row r="177" spans="1:16" ht="25.5" hidden="1" x14ac:dyDescent="0.2">
      <c r="A177" s="41" t="s">
        <v>260</v>
      </c>
      <c r="B177" s="8" t="s">
        <v>161</v>
      </c>
      <c r="C177" s="20"/>
      <c r="D177" s="14" t="s">
        <v>432</v>
      </c>
      <c r="E177" s="11">
        <f t="shared" si="25"/>
        <v>0</v>
      </c>
      <c r="F177" s="12"/>
      <c r="G177" s="12"/>
      <c r="H177" s="12"/>
      <c r="I177" s="12">
        <f>I178+I180+I182+I184+I186+I188+I190+I192+I194</f>
        <v>0</v>
      </c>
      <c r="J177" s="11">
        <f t="shared" si="26"/>
        <v>0</v>
      </c>
      <c r="K177" s="12"/>
      <c r="L177" s="12"/>
      <c r="M177" s="12"/>
      <c r="N177" s="12"/>
      <c r="O177" s="12">
        <f>O178+O180+O182+O184+O186+O188+O190+O192+O194</f>
        <v>0</v>
      </c>
      <c r="P177" s="13">
        <f t="shared" si="28"/>
        <v>0</v>
      </c>
    </row>
    <row r="178" spans="1:16" hidden="1" x14ac:dyDescent="0.2">
      <c r="A178" s="41" t="s">
        <v>262</v>
      </c>
      <c r="B178" s="8" t="s">
        <v>53</v>
      </c>
      <c r="C178" s="20" t="s">
        <v>14</v>
      </c>
      <c r="D178" s="5" t="s">
        <v>261</v>
      </c>
      <c r="E178" s="11">
        <f t="shared" si="25"/>
        <v>0</v>
      </c>
      <c r="F178" s="12"/>
      <c r="G178" s="12"/>
      <c r="H178" s="12"/>
      <c r="I178" s="12"/>
      <c r="J178" s="11">
        <f t="shared" si="26"/>
        <v>0</v>
      </c>
      <c r="K178" s="12"/>
      <c r="L178" s="12"/>
      <c r="M178" s="12"/>
      <c r="N178" s="12"/>
      <c r="O178" s="12"/>
      <c r="P178" s="13">
        <f t="shared" si="28"/>
        <v>0</v>
      </c>
    </row>
    <row r="179" spans="1:16" ht="114.75" hidden="1" x14ac:dyDescent="0.2">
      <c r="A179" s="41"/>
      <c r="B179" s="8"/>
      <c r="C179" s="20"/>
      <c r="D179" s="5" t="s">
        <v>429</v>
      </c>
      <c r="E179" s="11">
        <f t="shared" si="25"/>
        <v>0</v>
      </c>
      <c r="F179" s="12"/>
      <c r="G179" s="12"/>
      <c r="H179" s="12"/>
      <c r="I179" s="12"/>
      <c r="J179" s="11">
        <f t="shared" si="26"/>
        <v>0</v>
      </c>
      <c r="K179" s="12"/>
      <c r="L179" s="12"/>
      <c r="M179" s="12"/>
      <c r="N179" s="12"/>
      <c r="O179" s="12"/>
      <c r="P179" s="13">
        <f t="shared" si="28"/>
        <v>0</v>
      </c>
    </row>
    <row r="180" spans="1:16" hidden="1" x14ac:dyDescent="0.2">
      <c r="A180" s="41" t="s">
        <v>263</v>
      </c>
      <c r="B180" s="8" t="s">
        <v>54</v>
      </c>
      <c r="C180" s="20" t="s">
        <v>14</v>
      </c>
      <c r="D180" s="21" t="s">
        <v>116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429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264</v>
      </c>
      <c r="B182" s="8" t="s">
        <v>55</v>
      </c>
      <c r="C182" s="20" t="s">
        <v>14</v>
      </c>
      <c r="D182" s="21" t="s">
        <v>112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429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265</v>
      </c>
      <c r="B184" s="8" t="s">
        <v>56</v>
      </c>
      <c r="C184" s="20" t="s">
        <v>14</v>
      </c>
      <c r="D184" s="23" t="s">
        <v>113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429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266</v>
      </c>
      <c r="B186" s="8" t="s">
        <v>57</v>
      </c>
      <c r="C186" s="20" t="s">
        <v>14</v>
      </c>
      <c r="D186" s="5" t="s">
        <v>114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429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267</v>
      </c>
      <c r="B188" s="8" t="s">
        <v>58</v>
      </c>
      <c r="C188" s="20" t="s">
        <v>14</v>
      </c>
      <c r="D188" s="5" t="s">
        <v>115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429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268</v>
      </c>
      <c r="B190" s="8" t="s">
        <v>59</v>
      </c>
      <c r="C190" s="20" t="s">
        <v>14</v>
      </c>
      <c r="D190" s="47" t="s">
        <v>433</v>
      </c>
      <c r="E190" s="11">
        <f>F190+I190</f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429</v>
      </c>
      <c r="E191" s="11">
        <f>F191+I191</f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270</v>
      </c>
      <c r="B192" s="8" t="s">
        <v>60</v>
      </c>
      <c r="C192" s="20" t="s">
        <v>14</v>
      </c>
      <c r="D192" s="5" t="s">
        <v>269</v>
      </c>
      <c r="E192" s="11">
        <f t="shared" si="25"/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429</v>
      </c>
      <c r="E193" s="11">
        <f t="shared" si="25"/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t="20.25" hidden="1" customHeight="1" x14ac:dyDescent="0.2">
      <c r="A194" s="41" t="s">
        <v>271</v>
      </c>
      <c r="B194" s="8" t="s">
        <v>61</v>
      </c>
      <c r="C194" s="20" t="s">
        <v>14</v>
      </c>
      <c r="D194" s="5" t="s">
        <v>558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 t="s">
        <v>75</v>
      </c>
      <c r="D195" s="5" t="s">
        <v>429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76.5" hidden="1" x14ac:dyDescent="0.2">
      <c r="A196" s="41" t="s">
        <v>272</v>
      </c>
      <c r="B196" s="8" t="s">
        <v>62</v>
      </c>
      <c r="C196" s="20"/>
      <c r="D196" s="5" t="s">
        <v>456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idden="1" x14ac:dyDescent="0.2">
      <c r="A197" s="41"/>
      <c r="B197" s="8"/>
      <c r="C197" s="20"/>
      <c r="D197" s="5"/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25.5" hidden="1" x14ac:dyDescent="0.2">
      <c r="A198" s="41" t="s">
        <v>445</v>
      </c>
      <c r="B198" s="8" t="s">
        <v>440</v>
      </c>
      <c r="C198" s="20" t="s">
        <v>72</v>
      </c>
      <c r="D198" s="5" t="s">
        <v>450</v>
      </c>
      <c r="E198" s="11">
        <f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8"/>
        <v>0</v>
      </c>
    </row>
    <row r="199" spans="1:16" ht="114.75" hidden="1" x14ac:dyDescent="0.2">
      <c r="A199" s="41"/>
      <c r="B199" s="8"/>
      <c r="C199" s="20"/>
      <c r="D199" s="5" t="s">
        <v>429</v>
      </c>
      <c r="E199" s="11">
        <f t="shared" ref="E199:E207" si="29">F199+J199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446</v>
      </c>
      <c r="B200" s="8" t="s">
        <v>441</v>
      </c>
      <c r="C200" s="20" t="s">
        <v>72</v>
      </c>
      <c r="D200" s="5" t="s">
        <v>451</v>
      </c>
      <c r="E200" s="11">
        <f t="shared" si="29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429</v>
      </c>
      <c r="E201" s="11">
        <f t="shared" si="29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447</v>
      </c>
      <c r="B202" s="8" t="s">
        <v>442</v>
      </c>
      <c r="C202" s="20" t="s">
        <v>72</v>
      </c>
      <c r="D202" s="5" t="s">
        <v>452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429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448</v>
      </c>
      <c r="B204" s="8" t="s">
        <v>443</v>
      </c>
      <c r="C204" s="20" t="s">
        <v>72</v>
      </c>
      <c r="D204" s="5" t="s">
        <v>453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429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38.25" hidden="1" x14ac:dyDescent="0.2">
      <c r="A206" s="41" t="s">
        <v>449</v>
      </c>
      <c r="B206" s="8" t="s">
        <v>444</v>
      </c>
      <c r="C206" s="20" t="s">
        <v>72</v>
      </c>
      <c r="D206" s="5" t="s">
        <v>454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429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89.25" hidden="1" x14ac:dyDescent="0.2">
      <c r="A208" s="41" t="s">
        <v>555</v>
      </c>
      <c r="B208" s="8" t="s">
        <v>556</v>
      </c>
      <c r="C208" s="20" t="s">
        <v>14</v>
      </c>
      <c r="D208" s="5" t="s">
        <v>559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429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25.5" hidden="1" x14ac:dyDescent="0.2">
      <c r="A210" s="41" t="s">
        <v>282</v>
      </c>
      <c r="B210" s="20" t="s">
        <v>163</v>
      </c>
      <c r="C210" s="20" t="s">
        <v>72</v>
      </c>
      <c r="D210" s="21" t="s">
        <v>408</v>
      </c>
      <c r="E210" s="11">
        <f>F210</f>
        <v>0</v>
      </c>
      <c r="F210" s="12"/>
      <c r="G210" s="12"/>
      <c r="H210" s="12"/>
      <c r="I210" s="12">
        <f>SUM(I213:I214)</f>
        <v>0</v>
      </c>
      <c r="J210" s="11">
        <f>L210+O210</f>
        <v>0</v>
      </c>
      <c r="K210" s="12"/>
      <c r="L210" s="12"/>
      <c r="M210" s="12"/>
      <c r="N210" s="12"/>
      <c r="O210" s="12">
        <f>O213+O214</f>
        <v>0</v>
      </c>
      <c r="P210" s="13">
        <f t="shared" si="28"/>
        <v>0</v>
      </c>
    </row>
    <row r="211" spans="1:16" hidden="1" x14ac:dyDescent="0.2">
      <c r="A211" s="41" t="s">
        <v>567</v>
      </c>
      <c r="B211" s="20" t="s">
        <v>569</v>
      </c>
      <c r="C211" s="20" t="s">
        <v>14</v>
      </c>
      <c r="D211" s="21" t="s">
        <v>568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114.75" hidden="1" x14ac:dyDescent="0.2">
      <c r="A212" s="41"/>
      <c r="B212" s="20"/>
      <c r="C212" s="20"/>
      <c r="D212" s="5" t="s">
        <v>429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8"/>
        <v>0</v>
      </c>
    </row>
    <row r="213" spans="1:16" ht="27.6" customHeight="1" x14ac:dyDescent="0.2">
      <c r="A213" s="107" t="s">
        <v>283</v>
      </c>
      <c r="B213" s="4" t="s">
        <v>64</v>
      </c>
      <c r="C213" s="4" t="s">
        <v>74</v>
      </c>
      <c r="D213" s="5" t="s">
        <v>281</v>
      </c>
      <c r="E213" s="11">
        <f>F213+I213</f>
        <v>2878817</v>
      </c>
      <c r="F213" s="12">
        <f>7807300-4878480-50003</f>
        <v>2878817</v>
      </c>
      <c r="G213" s="12">
        <f>5610000-3400000-14621</f>
        <v>2195379</v>
      </c>
      <c r="H213" s="12">
        <f>132000-61980-7161</f>
        <v>62859</v>
      </c>
      <c r="I213" s="12"/>
      <c r="J213" s="11">
        <f>L213+O213</f>
        <v>655871</v>
      </c>
      <c r="K213" s="12"/>
      <c r="L213" s="12">
        <v>655871</v>
      </c>
      <c r="M213" s="12">
        <v>38353</v>
      </c>
      <c r="N213" s="12">
        <v>431800</v>
      </c>
      <c r="O213" s="12">
        <f>K213</f>
        <v>0</v>
      </c>
      <c r="P213" s="13">
        <f t="shared" si="28"/>
        <v>3534688</v>
      </c>
    </row>
    <row r="214" spans="1:16" hidden="1" x14ac:dyDescent="0.2">
      <c r="A214" s="41" t="s">
        <v>284</v>
      </c>
      <c r="B214" s="4" t="s">
        <v>65</v>
      </c>
      <c r="C214" s="4" t="s">
        <v>72</v>
      </c>
      <c r="D214" s="5" t="s">
        <v>409</v>
      </c>
      <c r="E214" s="11">
        <f>F214+I214</f>
        <v>0</v>
      </c>
      <c r="F214" s="12"/>
      <c r="G214" s="12"/>
      <c r="H214" s="12"/>
      <c r="I214" s="12"/>
      <c r="J214" s="11">
        <f>L214+O214</f>
        <v>0</v>
      </c>
      <c r="K214" s="12"/>
      <c r="L214" s="12"/>
      <c r="M214" s="12"/>
      <c r="N214" s="12"/>
      <c r="O214" s="12">
        <f>K214</f>
        <v>0</v>
      </c>
      <c r="P214" s="13">
        <f t="shared" si="28"/>
        <v>0</v>
      </c>
    </row>
    <row r="215" spans="1:16" hidden="1" x14ac:dyDescent="0.2">
      <c r="A215" s="41" t="s">
        <v>274</v>
      </c>
      <c r="B215" s="4" t="s">
        <v>273</v>
      </c>
      <c r="C215" s="4"/>
      <c r="D215" s="47" t="s">
        <v>26</v>
      </c>
      <c r="E215" s="11">
        <f t="shared" ref="E215:E231" si="30">F215+I215</f>
        <v>0</v>
      </c>
      <c r="F215" s="12"/>
      <c r="G215" s="12"/>
      <c r="H215" s="12"/>
      <c r="I215" s="12"/>
      <c r="J215" s="11">
        <f t="shared" ref="J215:J231" si="31">L215+O215</f>
        <v>0</v>
      </c>
      <c r="K215" s="12"/>
      <c r="L215" s="12"/>
      <c r="M215" s="12"/>
      <c r="N215" s="12"/>
      <c r="O215" s="12">
        <f>SUM(O216:O217)</f>
        <v>0</v>
      </c>
      <c r="P215" s="13">
        <f t="shared" si="28"/>
        <v>0</v>
      </c>
    </row>
    <row r="216" spans="1:16" x14ac:dyDescent="0.2">
      <c r="A216" s="41" t="s">
        <v>276</v>
      </c>
      <c r="B216" s="20" t="s">
        <v>275</v>
      </c>
      <c r="C216" s="20" t="s">
        <v>14</v>
      </c>
      <c r="D216" s="14" t="s">
        <v>617</v>
      </c>
      <c r="E216" s="11">
        <f t="shared" si="30"/>
        <v>1122210</v>
      </c>
      <c r="F216" s="12">
        <f>2711600-1571149-18241</f>
        <v>1122210</v>
      </c>
      <c r="G216" s="12">
        <f>2086000-1206978-1202</f>
        <v>877820</v>
      </c>
      <c r="H216" s="12">
        <f>66600-13661-5111</f>
        <v>47828</v>
      </c>
      <c r="I216" s="12"/>
      <c r="J216" s="11">
        <f t="shared" si="31"/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1122210</v>
      </c>
    </row>
    <row r="217" spans="1:16" hidden="1" x14ac:dyDescent="0.2">
      <c r="A217" s="41" t="s">
        <v>395</v>
      </c>
      <c r="B217" s="20" t="s">
        <v>394</v>
      </c>
      <c r="C217" s="20" t="s">
        <v>14</v>
      </c>
      <c r="D217" s="14" t="s">
        <v>396</v>
      </c>
      <c r="E217" s="11">
        <f t="shared" si="30"/>
        <v>0</v>
      </c>
      <c r="F217" s="12"/>
      <c r="G217" s="12"/>
      <c r="H217" s="12"/>
      <c r="I217" s="12"/>
      <c r="J217" s="11">
        <f t="shared" si="31"/>
        <v>0</v>
      </c>
      <c r="K217" s="12"/>
      <c r="L217" s="12"/>
      <c r="M217" s="12"/>
      <c r="N217" s="12"/>
      <c r="O217" s="12"/>
      <c r="P217" s="13">
        <f t="shared" si="28"/>
        <v>0</v>
      </c>
    </row>
    <row r="218" spans="1:16" hidden="1" x14ac:dyDescent="0.2">
      <c r="A218" s="41" t="s">
        <v>277</v>
      </c>
      <c r="B218" s="20" t="s">
        <v>162</v>
      </c>
      <c r="C218" s="20"/>
      <c r="D218" s="23" t="s">
        <v>156</v>
      </c>
      <c r="E218" s="11">
        <f t="shared" si="30"/>
        <v>0</v>
      </c>
      <c r="F218" s="12"/>
      <c r="G218" s="12"/>
      <c r="H218" s="12"/>
      <c r="I218" s="12">
        <f>I219</f>
        <v>0</v>
      </c>
      <c r="J218" s="11">
        <f t="shared" si="31"/>
        <v>0</v>
      </c>
      <c r="K218" s="12"/>
      <c r="L218" s="12"/>
      <c r="M218" s="12"/>
      <c r="N218" s="12"/>
      <c r="O218" s="12">
        <f>O219</f>
        <v>0</v>
      </c>
      <c r="P218" s="13">
        <f t="shared" si="28"/>
        <v>0</v>
      </c>
    </row>
    <row r="219" spans="1:16" ht="15.75" hidden="1" x14ac:dyDescent="0.25">
      <c r="A219" s="41" t="s">
        <v>279</v>
      </c>
      <c r="B219" s="20" t="s">
        <v>278</v>
      </c>
      <c r="C219" s="20" t="s">
        <v>14</v>
      </c>
      <c r="D219" s="46" t="s">
        <v>149</v>
      </c>
      <c r="E219" s="11">
        <f t="shared" si="30"/>
        <v>0</v>
      </c>
      <c r="F219" s="12"/>
      <c r="G219" s="12"/>
      <c r="H219" s="12"/>
      <c r="I219" s="12"/>
      <c r="J219" s="11">
        <f>L219+O219</f>
        <v>0</v>
      </c>
      <c r="K219" s="12"/>
      <c r="L219" s="12"/>
      <c r="M219" s="12"/>
      <c r="N219" s="12"/>
      <c r="O219" s="12"/>
      <c r="P219" s="13">
        <f t="shared" si="28"/>
        <v>0</v>
      </c>
    </row>
    <row r="220" spans="1:16" hidden="1" x14ac:dyDescent="0.2">
      <c r="A220" s="41">
        <v>1513500</v>
      </c>
      <c r="B220" s="4" t="s">
        <v>36</v>
      </c>
      <c r="C220" s="4" t="s">
        <v>14</v>
      </c>
      <c r="D220" s="5" t="s">
        <v>143</v>
      </c>
      <c r="E220" s="11">
        <f t="shared" si="30"/>
        <v>0</v>
      </c>
      <c r="F220" s="12"/>
      <c r="G220" s="12"/>
      <c r="H220" s="12"/>
      <c r="I220" s="12"/>
      <c r="J220" s="11">
        <f t="shared" si="31"/>
        <v>0</v>
      </c>
      <c r="K220" s="12"/>
      <c r="L220" s="12"/>
      <c r="M220" s="12"/>
      <c r="N220" s="12"/>
      <c r="O220" s="12"/>
      <c r="P220" s="13">
        <f t="shared" si="28"/>
        <v>0</v>
      </c>
    </row>
    <row r="221" spans="1:16" ht="38.25" x14ac:dyDescent="0.2">
      <c r="A221" s="41" t="s">
        <v>280</v>
      </c>
      <c r="B221" s="20" t="s">
        <v>44</v>
      </c>
      <c r="C221" s="20" t="s">
        <v>14</v>
      </c>
      <c r="D221" s="21" t="s">
        <v>99</v>
      </c>
      <c r="E221" s="11">
        <f t="shared" si="30"/>
        <v>1000000</v>
      </c>
      <c r="F221" s="12">
        <v>1000000</v>
      </c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/>
      <c r="P221" s="13">
        <f t="shared" si="28"/>
        <v>1000000</v>
      </c>
    </row>
    <row r="222" spans="1:16" hidden="1" x14ac:dyDescent="0.2">
      <c r="A222" s="41"/>
      <c r="B222" s="20"/>
      <c r="C222" s="20"/>
      <c r="D222" s="21" t="s">
        <v>485</v>
      </c>
      <c r="E222" s="11"/>
      <c r="F222" s="12"/>
      <c r="G222" s="12"/>
      <c r="H222" s="12"/>
      <c r="I222" s="12"/>
      <c r="J222" s="11"/>
      <c r="K222" s="12"/>
      <c r="L222" s="12"/>
      <c r="M222" s="12"/>
      <c r="N222" s="12"/>
      <c r="O222" s="12"/>
      <c r="P222" s="13">
        <f t="shared" si="28"/>
        <v>0</v>
      </c>
    </row>
    <row r="223" spans="1:16" ht="39.75" customHeight="1" x14ac:dyDescent="0.2">
      <c r="A223" s="41" t="s">
        <v>285</v>
      </c>
      <c r="B223" s="4" t="s">
        <v>63</v>
      </c>
      <c r="C223" s="4" t="s">
        <v>72</v>
      </c>
      <c r="D223" s="5" t="s">
        <v>410</v>
      </c>
      <c r="E223" s="11">
        <f t="shared" si="30"/>
        <v>1300000</v>
      </c>
      <c r="F223" s="12">
        <f>1000000+300000</f>
        <v>1300000</v>
      </c>
      <c r="G223" s="12"/>
      <c r="H223" s="12"/>
      <c r="I223" s="12">
        <f>SUM(I224)</f>
        <v>0</v>
      </c>
      <c r="J223" s="11">
        <f t="shared" si="31"/>
        <v>0</v>
      </c>
      <c r="K223" s="12"/>
      <c r="L223" s="12"/>
      <c r="M223" s="12"/>
      <c r="N223" s="12"/>
      <c r="O223" s="12">
        <f>SUM(O224)</f>
        <v>0</v>
      </c>
      <c r="P223" s="13">
        <f t="shared" si="28"/>
        <v>1300000</v>
      </c>
    </row>
    <row r="224" spans="1:16" ht="25.5" hidden="1" customHeight="1" x14ac:dyDescent="0.2">
      <c r="A224" s="41" t="s">
        <v>411</v>
      </c>
      <c r="B224" s="4" t="s">
        <v>286</v>
      </c>
      <c r="C224" s="4" t="s">
        <v>72</v>
      </c>
      <c r="D224" s="5" t="s">
        <v>281</v>
      </c>
      <c r="E224" s="11">
        <f t="shared" si="30"/>
        <v>0</v>
      </c>
      <c r="F224" s="12"/>
      <c r="G224" s="12"/>
      <c r="H224" s="12"/>
      <c r="I224" s="12"/>
      <c r="J224" s="11">
        <f t="shared" si="31"/>
        <v>0</v>
      </c>
      <c r="K224" s="12"/>
      <c r="L224" s="12"/>
      <c r="M224" s="12"/>
      <c r="N224" s="12"/>
      <c r="O224" s="12"/>
      <c r="P224" s="13">
        <f t="shared" si="28"/>
        <v>0</v>
      </c>
    </row>
    <row r="225" spans="1:18" hidden="1" x14ac:dyDescent="0.2">
      <c r="A225" s="41" t="s">
        <v>412</v>
      </c>
      <c r="B225" s="4" t="s">
        <v>413</v>
      </c>
      <c r="C225" s="4"/>
      <c r="D225" s="5" t="s">
        <v>30</v>
      </c>
      <c r="E225" s="11">
        <f>E226</f>
        <v>600000</v>
      </c>
      <c r="F225" s="11"/>
      <c r="G225" s="11"/>
      <c r="H225" s="11"/>
      <c r="I225" s="11">
        <f t="shared" ref="I225:O225" si="32">I226</f>
        <v>0</v>
      </c>
      <c r="J225" s="11">
        <f t="shared" si="32"/>
        <v>0</v>
      </c>
      <c r="K225" s="11"/>
      <c r="L225" s="11"/>
      <c r="M225" s="11"/>
      <c r="N225" s="11"/>
      <c r="O225" s="11">
        <f t="shared" si="32"/>
        <v>0</v>
      </c>
      <c r="P225" s="13">
        <f t="shared" si="28"/>
        <v>600000</v>
      </c>
    </row>
    <row r="226" spans="1:18" ht="25.5" x14ac:dyDescent="0.2">
      <c r="A226" s="41" t="s">
        <v>414</v>
      </c>
      <c r="B226" s="4" t="s">
        <v>415</v>
      </c>
      <c r="C226" s="4" t="s">
        <v>131</v>
      </c>
      <c r="D226" s="5" t="s">
        <v>618</v>
      </c>
      <c r="E226" s="11">
        <f>F226+I226</f>
        <v>600000</v>
      </c>
      <c r="F226" s="12">
        <v>600000</v>
      </c>
      <c r="G226" s="12"/>
      <c r="H226" s="12"/>
      <c r="I226" s="12"/>
      <c r="J226" s="11">
        <f>L226+O226</f>
        <v>0</v>
      </c>
      <c r="K226" s="12"/>
      <c r="L226" s="12"/>
      <c r="M226" s="12"/>
      <c r="N226" s="12"/>
      <c r="O226" s="12">
        <f>K226</f>
        <v>0</v>
      </c>
      <c r="P226" s="13">
        <f t="shared" si="28"/>
        <v>600000</v>
      </c>
    </row>
    <row r="227" spans="1:18" x14ac:dyDescent="0.2">
      <c r="A227" s="41" t="s">
        <v>416</v>
      </c>
      <c r="B227" s="20" t="s">
        <v>417</v>
      </c>
      <c r="C227" s="20" t="s">
        <v>28</v>
      </c>
      <c r="D227" s="14" t="s">
        <v>29</v>
      </c>
      <c r="E227" s="11">
        <f t="shared" si="30"/>
        <v>200000</v>
      </c>
      <c r="F227" s="12">
        <v>200000</v>
      </c>
      <c r="G227" s="12">
        <f>60000-27966</f>
        <v>32034</v>
      </c>
      <c r="H227" s="12"/>
      <c r="I227" s="12"/>
      <c r="J227" s="11">
        <f t="shared" si="31"/>
        <v>0</v>
      </c>
      <c r="K227" s="12"/>
      <c r="L227" s="12"/>
      <c r="M227" s="12"/>
      <c r="N227" s="12"/>
      <c r="O227" s="12"/>
      <c r="P227" s="13">
        <f t="shared" si="28"/>
        <v>200000</v>
      </c>
    </row>
    <row r="228" spans="1:18" hidden="1" x14ac:dyDescent="0.2">
      <c r="A228" s="41">
        <v>1518600</v>
      </c>
      <c r="B228" s="8" t="s">
        <v>41</v>
      </c>
      <c r="C228" s="4" t="s">
        <v>142</v>
      </c>
      <c r="D228" s="5" t="s">
        <v>143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8" ht="25.5" hidden="1" x14ac:dyDescent="0.2">
      <c r="A229" s="41" t="s">
        <v>522</v>
      </c>
      <c r="B229" s="8" t="s">
        <v>523</v>
      </c>
      <c r="C229" s="4"/>
      <c r="D229" s="5" t="s">
        <v>526</v>
      </c>
      <c r="E229" s="11">
        <f t="shared" si="30"/>
        <v>0</v>
      </c>
      <c r="F229" s="12"/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>
        <f>K229</f>
        <v>0</v>
      </c>
      <c r="P229" s="13">
        <f t="shared" si="28"/>
        <v>0</v>
      </c>
    </row>
    <row r="230" spans="1:18" ht="102" hidden="1" x14ac:dyDescent="0.2">
      <c r="A230" s="41" t="s">
        <v>524</v>
      </c>
      <c r="B230" s="8" t="s">
        <v>525</v>
      </c>
      <c r="C230" s="4" t="s">
        <v>69</v>
      </c>
      <c r="D230" s="5" t="s">
        <v>527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0</v>
      </c>
    </row>
    <row r="231" spans="1:18" ht="117" hidden="1" customHeight="1" x14ac:dyDescent="0.2">
      <c r="A231" s="41"/>
      <c r="B231" s="8"/>
      <c r="C231" s="4"/>
      <c r="D231" s="5" t="s">
        <v>528</v>
      </c>
      <c r="E231" s="11">
        <f t="shared" si="30"/>
        <v>0</v>
      </c>
      <c r="F231" s="12"/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0</v>
      </c>
    </row>
    <row r="232" spans="1:18" ht="89.25" hidden="1" x14ac:dyDescent="0.2">
      <c r="A232" s="41" t="s">
        <v>455</v>
      </c>
      <c r="B232" s="20" t="s">
        <v>439</v>
      </c>
      <c r="C232" s="20" t="s">
        <v>14</v>
      </c>
      <c r="D232" s="5" t="s">
        <v>557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8"/>
        <v>0</v>
      </c>
    </row>
    <row r="233" spans="1:18" ht="105.6" hidden="1" customHeight="1" x14ac:dyDescent="0.2">
      <c r="A233" s="41"/>
      <c r="B233" s="8"/>
      <c r="C233" s="20"/>
      <c r="D233" s="5" t="s">
        <v>560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8"/>
        <v>0</v>
      </c>
    </row>
    <row r="234" spans="1:18" ht="25.5" x14ac:dyDescent="0.2">
      <c r="A234" s="41" t="s">
        <v>652</v>
      </c>
      <c r="B234" s="4" t="s">
        <v>653</v>
      </c>
      <c r="C234" s="4" t="s">
        <v>130</v>
      </c>
      <c r="D234" s="102" t="s">
        <v>654</v>
      </c>
      <c r="E234" s="11">
        <f>F234+I234</f>
        <v>10715772</v>
      </c>
      <c r="F234" s="12">
        <f>3742700+6449629+362699+92500+68244</f>
        <v>10715772</v>
      </c>
      <c r="G234" s="12"/>
      <c r="H234" s="12"/>
      <c r="I234" s="12"/>
      <c r="J234" s="11">
        <f>L234+O234</f>
        <v>1550000</v>
      </c>
      <c r="K234" s="12">
        <f>50000+1500000</f>
        <v>1550000</v>
      </c>
      <c r="L234" s="12"/>
      <c r="M234" s="12"/>
      <c r="N234" s="12"/>
      <c r="O234" s="12">
        <f>K234</f>
        <v>1550000</v>
      </c>
      <c r="P234" s="13">
        <f t="shared" si="28"/>
        <v>12265772</v>
      </c>
    </row>
    <row r="235" spans="1:18" s="1" customFormat="1" ht="38.25" x14ac:dyDescent="0.2">
      <c r="A235" s="36"/>
      <c r="B235" s="3"/>
      <c r="C235" s="3"/>
      <c r="D235" s="15" t="s">
        <v>10</v>
      </c>
      <c r="E235" s="10">
        <f>F235+I235</f>
        <v>362699</v>
      </c>
      <c r="F235" s="17">
        <v>362699</v>
      </c>
      <c r="G235" s="17"/>
      <c r="H235" s="17"/>
      <c r="I235" s="17"/>
      <c r="J235" s="10">
        <v>1500000</v>
      </c>
      <c r="K235" s="17">
        <v>1500000</v>
      </c>
      <c r="L235" s="17"/>
      <c r="M235" s="17"/>
      <c r="N235" s="17"/>
      <c r="O235" s="17">
        <f>K235</f>
        <v>1500000</v>
      </c>
      <c r="P235" s="16">
        <f>E235+J235</f>
        <v>1862699</v>
      </c>
    </row>
    <row r="236" spans="1:18" x14ac:dyDescent="0.2">
      <c r="A236" s="41" t="s">
        <v>420</v>
      </c>
      <c r="B236" s="4" t="s">
        <v>419</v>
      </c>
      <c r="C236" s="4" t="s">
        <v>130</v>
      </c>
      <c r="D236" s="72" t="s">
        <v>418</v>
      </c>
      <c r="E236" s="11">
        <f>F236+I236</f>
        <v>6182300</v>
      </c>
      <c r="F236" s="12">
        <f>5782300+200000+200000</f>
        <v>6182300</v>
      </c>
      <c r="G236" s="12"/>
      <c r="H236" s="12"/>
      <c r="I236" s="12"/>
      <c r="J236" s="11">
        <f>L236+O236</f>
        <v>320000</v>
      </c>
      <c r="K236" s="12">
        <v>320000</v>
      </c>
      <c r="L236" s="12"/>
      <c r="M236" s="12"/>
      <c r="N236" s="12"/>
      <c r="O236" s="12">
        <f>K236</f>
        <v>320000</v>
      </c>
      <c r="P236" s="13">
        <f t="shared" si="28"/>
        <v>6502300</v>
      </c>
    </row>
    <row r="237" spans="1:18" hidden="1" x14ac:dyDescent="0.2">
      <c r="A237" s="41" t="s">
        <v>463</v>
      </c>
      <c r="B237" s="4" t="s">
        <v>194</v>
      </c>
      <c r="C237" s="4"/>
      <c r="D237" s="82" t="s">
        <v>196</v>
      </c>
      <c r="E237" s="11">
        <f>E238</f>
        <v>70000</v>
      </c>
      <c r="F237" s="11"/>
      <c r="G237" s="11"/>
      <c r="H237" s="11"/>
      <c r="I237" s="11">
        <f t="shared" ref="I237:O237" si="33">I238</f>
        <v>0</v>
      </c>
      <c r="J237" s="11">
        <f t="shared" si="33"/>
        <v>0</v>
      </c>
      <c r="K237" s="11">
        <f>K238</f>
        <v>0</v>
      </c>
      <c r="L237" s="11">
        <f t="shared" si="33"/>
        <v>0</v>
      </c>
      <c r="M237" s="11">
        <f t="shared" si="33"/>
        <v>0</v>
      </c>
      <c r="N237" s="11">
        <f t="shared" si="33"/>
        <v>0</v>
      </c>
      <c r="O237" s="11">
        <f t="shared" si="33"/>
        <v>0</v>
      </c>
      <c r="P237" s="13">
        <f t="shared" si="28"/>
        <v>70000</v>
      </c>
    </row>
    <row r="238" spans="1:18" x14ac:dyDescent="0.2">
      <c r="A238" s="41" t="s">
        <v>464</v>
      </c>
      <c r="B238" s="4" t="s">
        <v>198</v>
      </c>
      <c r="C238" s="4" t="s">
        <v>135</v>
      </c>
      <c r="D238" s="82" t="s">
        <v>199</v>
      </c>
      <c r="E238" s="11">
        <f>F238+I238</f>
        <v>70000</v>
      </c>
      <c r="F238" s="12">
        <v>70000</v>
      </c>
      <c r="G238" s="12"/>
      <c r="H238" s="12"/>
      <c r="I238" s="12"/>
      <c r="J238" s="11">
        <f>L238+O238</f>
        <v>0</v>
      </c>
      <c r="K238" s="12"/>
      <c r="L238" s="12"/>
      <c r="M238" s="12"/>
      <c r="N238" s="12"/>
      <c r="O238" s="12"/>
      <c r="P238" s="13">
        <f t="shared" si="28"/>
        <v>70000</v>
      </c>
    </row>
    <row r="239" spans="1:18" x14ac:dyDescent="0.2">
      <c r="A239" s="62" t="s">
        <v>182</v>
      </c>
      <c r="B239" s="6"/>
      <c r="C239" s="7"/>
      <c r="D239" s="31" t="s">
        <v>77</v>
      </c>
      <c r="E239" s="25">
        <f>E240</f>
        <v>4031400</v>
      </c>
      <c r="F239" s="25">
        <f t="shared" ref="F239:O239" si="34">F240</f>
        <v>4031400</v>
      </c>
      <c r="G239" s="25">
        <f t="shared" si="34"/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13">
        <f t="shared" si="28"/>
        <v>4031400</v>
      </c>
      <c r="R239" s="34"/>
    </row>
    <row r="240" spans="1:18" x14ac:dyDescent="0.2">
      <c r="A240" s="41" t="s">
        <v>287</v>
      </c>
      <c r="B240" s="8"/>
      <c r="C240" s="7"/>
      <c r="D240" s="15" t="s">
        <v>77</v>
      </c>
      <c r="E240" s="25">
        <f>E241+E244+E243</f>
        <v>4031400</v>
      </c>
      <c r="F240" s="25">
        <f>F241+F243+F242+F244</f>
        <v>4031400</v>
      </c>
      <c r="G240" s="25">
        <f t="shared" ref="G240:O240" si="35">G241+G243+G242</f>
        <v>2868000</v>
      </c>
      <c r="H240" s="25">
        <f t="shared" si="35"/>
        <v>51500</v>
      </c>
      <c r="I240" s="25">
        <f t="shared" si="35"/>
        <v>0</v>
      </c>
      <c r="J240" s="25">
        <f t="shared" si="35"/>
        <v>0</v>
      </c>
      <c r="K240" s="25">
        <f>K241+K243+K242</f>
        <v>0</v>
      </c>
      <c r="L240" s="25">
        <f t="shared" si="35"/>
        <v>0</v>
      </c>
      <c r="M240" s="25">
        <f t="shared" si="35"/>
        <v>0</v>
      </c>
      <c r="N240" s="25">
        <f t="shared" si="35"/>
        <v>0</v>
      </c>
      <c r="O240" s="25">
        <f t="shared" si="35"/>
        <v>0</v>
      </c>
      <c r="P240" s="25">
        <f>P241+P243+P242+P244+P243</f>
        <v>4131400</v>
      </c>
    </row>
    <row r="241" spans="1:18" ht="25.5" x14ac:dyDescent="0.2">
      <c r="A241" s="41" t="s">
        <v>288</v>
      </c>
      <c r="B241" s="4" t="s">
        <v>201</v>
      </c>
      <c r="C241" s="4" t="s">
        <v>129</v>
      </c>
      <c r="D241" s="14" t="s">
        <v>613</v>
      </c>
      <c r="E241" s="11">
        <f>F241+I241</f>
        <v>3781400</v>
      </c>
      <c r="F241" s="12">
        <f>3777900+3500</f>
        <v>3781400</v>
      </c>
      <c r="G241" s="12">
        <v>2868000</v>
      </c>
      <c r="H241" s="12">
        <f>48000+3500</f>
        <v>51500</v>
      </c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ref="P241:P258" si="36">E241+J241</f>
        <v>3781400</v>
      </c>
    </row>
    <row r="242" spans="1:18" hidden="1" x14ac:dyDescent="0.2">
      <c r="A242" s="41"/>
      <c r="B242" s="4"/>
      <c r="C242" s="4"/>
      <c r="D242" s="14"/>
      <c r="E242" s="11">
        <f>F242+I242</f>
        <v>0</v>
      </c>
      <c r="F242" s="12"/>
      <c r="G242" s="12"/>
      <c r="H242" s="12"/>
      <c r="I242" s="12"/>
      <c r="J242" s="11">
        <f>L242+O242</f>
        <v>0</v>
      </c>
      <c r="K242" s="12"/>
      <c r="L242" s="12"/>
      <c r="M242" s="12"/>
      <c r="N242" s="12"/>
      <c r="O242" s="12">
        <f>K242</f>
        <v>0</v>
      </c>
      <c r="P242" s="13">
        <f t="shared" si="36"/>
        <v>0</v>
      </c>
    </row>
    <row r="243" spans="1:18" ht="38.25" x14ac:dyDescent="0.2">
      <c r="A243" s="107" t="s">
        <v>661</v>
      </c>
      <c r="B243" s="8" t="s">
        <v>662</v>
      </c>
      <c r="C243" s="4" t="s">
        <v>14</v>
      </c>
      <c r="D243" s="106" t="s">
        <v>663</v>
      </c>
      <c r="E243" s="11">
        <f>F243+I243</f>
        <v>100000</v>
      </c>
      <c r="F243" s="11">
        <v>100000</v>
      </c>
      <c r="G243" s="11"/>
      <c r="H243" s="11"/>
      <c r="I243" s="11">
        <f t="shared" ref="I243:N243" si="37">I244</f>
        <v>0</v>
      </c>
      <c r="J243" s="11">
        <f>L243+O243</f>
        <v>0</v>
      </c>
      <c r="K243" s="11"/>
      <c r="L243" s="11">
        <f t="shared" si="37"/>
        <v>0</v>
      </c>
      <c r="M243" s="11">
        <f t="shared" si="37"/>
        <v>0</v>
      </c>
      <c r="N243" s="11">
        <f t="shared" si="37"/>
        <v>0</v>
      </c>
      <c r="O243" s="11">
        <f>K243</f>
        <v>0</v>
      </c>
      <c r="P243" s="13">
        <f t="shared" si="36"/>
        <v>100000</v>
      </c>
    </row>
    <row r="244" spans="1:18" ht="15.75" x14ac:dyDescent="0.25">
      <c r="A244" s="41" t="s">
        <v>289</v>
      </c>
      <c r="B244" s="8" t="s">
        <v>176</v>
      </c>
      <c r="C244" s="4" t="s">
        <v>14</v>
      </c>
      <c r="D244" s="46" t="s">
        <v>175</v>
      </c>
      <c r="E244" s="11">
        <f>F244</f>
        <v>150000</v>
      </c>
      <c r="F244" s="12">
        <v>150000</v>
      </c>
      <c r="G244" s="12"/>
      <c r="H244" s="12"/>
      <c r="I244" s="12"/>
      <c r="J244" s="11"/>
      <c r="K244" s="12"/>
      <c r="L244" s="12"/>
      <c r="M244" s="12"/>
      <c r="N244" s="12"/>
      <c r="O244" s="12"/>
      <c r="P244" s="13">
        <f t="shared" si="36"/>
        <v>150000</v>
      </c>
    </row>
    <row r="245" spans="1:18" ht="25.5" x14ac:dyDescent="0.2">
      <c r="A245" s="62">
        <v>1000000</v>
      </c>
      <c r="B245" s="6"/>
      <c r="C245" s="7"/>
      <c r="D245" s="31" t="s">
        <v>611</v>
      </c>
      <c r="E245" s="25">
        <f>E247</f>
        <v>52250800</v>
      </c>
      <c r="F245" s="25">
        <f t="shared" ref="F245:O245" si="38">F247</f>
        <v>52250800</v>
      </c>
      <c r="G245" s="25">
        <f t="shared" si="38"/>
        <v>35352000</v>
      </c>
      <c r="H245" s="25">
        <f t="shared" si="38"/>
        <v>3892100</v>
      </c>
      <c r="I245" s="25">
        <f t="shared" si="38"/>
        <v>0</v>
      </c>
      <c r="J245" s="25">
        <f t="shared" si="38"/>
        <v>7945400</v>
      </c>
      <c r="K245" s="25">
        <f>K247</f>
        <v>4761000</v>
      </c>
      <c r="L245" s="25">
        <f t="shared" si="38"/>
        <v>3184400</v>
      </c>
      <c r="M245" s="25">
        <f t="shared" si="38"/>
        <v>1649600</v>
      </c>
      <c r="N245" s="25">
        <f t="shared" si="38"/>
        <v>0</v>
      </c>
      <c r="O245" s="25">
        <f t="shared" si="38"/>
        <v>4761000</v>
      </c>
      <c r="P245" s="13">
        <f t="shared" si="36"/>
        <v>60196200</v>
      </c>
      <c r="R245" s="34"/>
    </row>
    <row r="246" spans="1:18" hidden="1" x14ac:dyDescent="0.2">
      <c r="A246" s="62"/>
      <c r="B246" s="6"/>
      <c r="C246" s="7"/>
      <c r="D246" s="35" t="s">
        <v>485</v>
      </c>
      <c r="E246" s="25"/>
      <c r="F246" s="25"/>
      <c r="G246" s="25"/>
      <c r="H246" s="25"/>
      <c r="I246" s="25"/>
      <c r="J246" s="17">
        <f>J250</f>
        <v>0</v>
      </c>
      <c r="K246" s="17">
        <f t="shared" ref="K246:P246" si="39">K250</f>
        <v>0</v>
      </c>
      <c r="L246" s="17">
        <f t="shared" si="39"/>
        <v>0</v>
      </c>
      <c r="M246" s="17">
        <f t="shared" si="39"/>
        <v>0</v>
      </c>
      <c r="N246" s="17">
        <f t="shared" si="39"/>
        <v>0</v>
      </c>
      <c r="O246" s="17">
        <f t="shared" si="39"/>
        <v>0</v>
      </c>
      <c r="P246" s="32">
        <f t="shared" si="39"/>
        <v>0</v>
      </c>
    </row>
    <row r="247" spans="1:18" ht="15.75" customHeight="1" x14ac:dyDescent="0.2">
      <c r="A247" s="41" t="s">
        <v>290</v>
      </c>
      <c r="B247" s="8"/>
      <c r="C247" s="7"/>
      <c r="D247" s="15" t="s">
        <v>611</v>
      </c>
      <c r="E247" s="25">
        <f>E248+E249+E252+E254+E255+E257+E258+E251</f>
        <v>52250800</v>
      </c>
      <c r="F247" s="25">
        <f>F248+F249+F252+F254+F255+F257+F258+F251</f>
        <v>52250800</v>
      </c>
      <c r="G247" s="25">
        <f>G248+G249+G252+G254+G255+G257+G258</f>
        <v>35352000</v>
      </c>
      <c r="H247" s="25">
        <f>H248+H249+H252+H254+H255+H257+H258</f>
        <v>3892100</v>
      </c>
      <c r="I247" s="25">
        <f>SUM(I248:I256)</f>
        <v>0</v>
      </c>
      <c r="J247" s="25">
        <f t="shared" ref="J247:O247" si="40">J248+J249+J252+J254+J255+J257+J258</f>
        <v>7945400</v>
      </c>
      <c r="K247" s="25">
        <f t="shared" si="40"/>
        <v>4761000</v>
      </c>
      <c r="L247" s="25">
        <f t="shared" si="40"/>
        <v>3184400</v>
      </c>
      <c r="M247" s="25">
        <f t="shared" si="40"/>
        <v>1649600</v>
      </c>
      <c r="N247" s="25">
        <f t="shared" si="40"/>
        <v>0</v>
      </c>
      <c r="O247" s="25">
        <f t="shared" si="40"/>
        <v>4761000</v>
      </c>
      <c r="P247" s="13">
        <f t="shared" si="36"/>
        <v>60196200</v>
      </c>
    </row>
    <row r="248" spans="1:18" ht="25.5" x14ac:dyDescent="0.2">
      <c r="A248" s="41" t="s">
        <v>291</v>
      </c>
      <c r="B248" s="4" t="s">
        <v>201</v>
      </c>
      <c r="C248" s="4" t="s">
        <v>129</v>
      </c>
      <c r="D248" s="14" t="s">
        <v>613</v>
      </c>
      <c r="E248" s="11">
        <f t="shared" ref="E248:E258" si="41">F248+I248</f>
        <v>2378800</v>
      </c>
      <c r="F248" s="12">
        <f>2429800-51000</f>
        <v>2378800</v>
      </c>
      <c r="G248" s="12">
        <f>1065000+675600</f>
        <v>1740600</v>
      </c>
      <c r="H248" s="12"/>
      <c r="I248" s="12"/>
      <c r="J248" s="11">
        <f t="shared" ref="J248:J258" si="42">L248+O248</f>
        <v>160700</v>
      </c>
      <c r="K248" s="12">
        <f>109700+51000</f>
        <v>160700</v>
      </c>
      <c r="L248" s="12"/>
      <c r="M248" s="12"/>
      <c r="N248" s="12"/>
      <c r="O248" s="12">
        <f t="shared" ref="O248:O258" si="43">K248</f>
        <v>160700</v>
      </c>
      <c r="P248" s="13">
        <f t="shared" si="36"/>
        <v>2539500</v>
      </c>
    </row>
    <row r="249" spans="1:18" x14ac:dyDescent="0.2">
      <c r="A249" s="41" t="s">
        <v>651</v>
      </c>
      <c r="B249" s="98" t="s">
        <v>627</v>
      </c>
      <c r="C249" s="20" t="s">
        <v>147</v>
      </c>
      <c r="D249" s="5" t="s">
        <v>585</v>
      </c>
      <c r="E249" s="11">
        <f>F249+I249</f>
        <v>22373700</v>
      </c>
      <c r="F249" s="12">
        <f>22411400-61900+24200</f>
        <v>22373700</v>
      </c>
      <c r="G249" s="12">
        <v>17326700</v>
      </c>
      <c r="H249" s="12">
        <f>1090000-61900+24200</f>
        <v>1052300</v>
      </c>
      <c r="I249" s="12"/>
      <c r="J249" s="11">
        <f>L249+O249</f>
        <v>2220000</v>
      </c>
      <c r="K249" s="12"/>
      <c r="L249" s="12">
        <v>2220000</v>
      </c>
      <c r="M249" s="12">
        <v>1500000</v>
      </c>
      <c r="N249" s="12"/>
      <c r="O249" s="12">
        <f t="shared" si="43"/>
        <v>0</v>
      </c>
      <c r="P249" s="13">
        <f t="shared" si="36"/>
        <v>24593700</v>
      </c>
    </row>
    <row r="250" spans="1:18" s="1" customFormat="1" hidden="1" x14ac:dyDescent="0.2">
      <c r="A250" s="36"/>
      <c r="B250" s="22"/>
      <c r="C250" s="22"/>
      <c r="D250" s="35" t="s">
        <v>485</v>
      </c>
      <c r="E250" s="10"/>
      <c r="F250" s="17"/>
      <c r="G250" s="17"/>
      <c r="H250" s="17"/>
      <c r="I250" s="17"/>
      <c r="J250" s="10">
        <f>L250+O250</f>
        <v>0</v>
      </c>
      <c r="K250" s="17"/>
      <c r="L250" s="17"/>
      <c r="M250" s="17"/>
      <c r="N250" s="17"/>
      <c r="O250" s="17">
        <f>K250</f>
        <v>0</v>
      </c>
      <c r="P250" s="16">
        <f>E250+J250</f>
        <v>0</v>
      </c>
    </row>
    <row r="251" spans="1:18" ht="15.75" customHeight="1" x14ac:dyDescent="0.2">
      <c r="A251" s="41" t="s">
        <v>646</v>
      </c>
      <c r="B251" s="20" t="s">
        <v>278</v>
      </c>
      <c r="C251" s="27" t="s">
        <v>14</v>
      </c>
      <c r="D251" s="47" t="s">
        <v>149</v>
      </c>
      <c r="E251" s="11">
        <f>F251+I251</f>
        <v>650000</v>
      </c>
      <c r="F251" s="12">
        <v>650000</v>
      </c>
      <c r="G251" s="12"/>
      <c r="H251" s="12"/>
      <c r="I251" s="12"/>
      <c r="J251" s="11">
        <f>L251+O251</f>
        <v>0</v>
      </c>
      <c r="K251" s="12"/>
      <c r="L251" s="12"/>
      <c r="M251" s="12"/>
      <c r="N251" s="12"/>
      <c r="O251" s="12">
        <f>K251</f>
        <v>0</v>
      </c>
      <c r="P251" s="13">
        <f>E251+J251</f>
        <v>650000</v>
      </c>
    </row>
    <row r="252" spans="1:18" x14ac:dyDescent="0.2">
      <c r="A252" s="41" t="s">
        <v>294</v>
      </c>
      <c r="B252" s="20" t="s">
        <v>293</v>
      </c>
      <c r="C252" s="20" t="s">
        <v>78</v>
      </c>
      <c r="D252" s="5" t="s">
        <v>292</v>
      </c>
      <c r="E252" s="11">
        <f t="shared" si="41"/>
        <v>6804500</v>
      </c>
      <c r="F252" s="12">
        <f>6794100+2400+8000</f>
        <v>6804500</v>
      </c>
      <c r="G252" s="12">
        <v>4976700</v>
      </c>
      <c r="H252" s="12">
        <f>480000+2400+8000</f>
        <v>490400</v>
      </c>
      <c r="I252" s="12"/>
      <c r="J252" s="11">
        <f t="shared" si="42"/>
        <v>160000</v>
      </c>
      <c r="K252" s="12">
        <v>100000</v>
      </c>
      <c r="L252" s="12">
        <v>60000</v>
      </c>
      <c r="M252" s="12"/>
      <c r="N252" s="12"/>
      <c r="O252" s="17">
        <f>K252</f>
        <v>100000</v>
      </c>
      <c r="P252" s="13">
        <f t="shared" si="36"/>
        <v>6964500</v>
      </c>
    </row>
    <row r="253" spans="1:18" hidden="1" x14ac:dyDescent="0.2">
      <c r="A253" s="41"/>
      <c r="B253" s="20"/>
      <c r="C253" s="20"/>
      <c r="E253" s="11"/>
      <c r="F253" s="12"/>
      <c r="G253" s="12"/>
      <c r="H253" s="12"/>
      <c r="I253" s="12"/>
      <c r="J253" s="11"/>
      <c r="K253" s="12"/>
      <c r="L253" s="12"/>
      <c r="M253" s="12"/>
      <c r="N253" s="12"/>
      <c r="O253" s="12"/>
      <c r="P253" s="13"/>
    </row>
    <row r="254" spans="1:18" x14ac:dyDescent="0.2">
      <c r="A254" s="41" t="s">
        <v>297</v>
      </c>
      <c r="B254" s="4" t="s">
        <v>296</v>
      </c>
      <c r="C254" s="4" t="s">
        <v>78</v>
      </c>
      <c r="D254" s="14" t="s">
        <v>295</v>
      </c>
      <c r="E254" s="11">
        <f>F254+I254</f>
        <v>4182800</v>
      </c>
      <c r="F254" s="12">
        <f>4182600+200</f>
        <v>4182800</v>
      </c>
      <c r="G254" s="12">
        <v>3003900</v>
      </c>
      <c r="H254" s="12">
        <f>307800+200</f>
        <v>308000</v>
      </c>
      <c r="I254" s="12"/>
      <c r="J254" s="11">
        <f t="shared" si="42"/>
        <v>42400</v>
      </c>
      <c r="K254" s="12"/>
      <c r="L254" s="12">
        <v>42400</v>
      </c>
      <c r="M254" s="12">
        <v>4600</v>
      </c>
      <c r="N254" s="12"/>
      <c r="O254" s="12">
        <f t="shared" si="43"/>
        <v>0</v>
      </c>
      <c r="P254" s="13">
        <f t="shared" si="36"/>
        <v>4225200</v>
      </c>
    </row>
    <row r="255" spans="1:18" ht="25.5" x14ac:dyDescent="0.2">
      <c r="A255" s="41" t="s">
        <v>299</v>
      </c>
      <c r="B255" s="20" t="s">
        <v>66</v>
      </c>
      <c r="C255" s="20" t="s">
        <v>79</v>
      </c>
      <c r="D255" s="21" t="s">
        <v>298</v>
      </c>
      <c r="E255" s="11">
        <f t="shared" si="41"/>
        <v>10106900</v>
      </c>
      <c r="F255" s="12">
        <f>10089900+17000</f>
        <v>10106900</v>
      </c>
      <c r="G255" s="12">
        <v>6344600</v>
      </c>
      <c r="H255" s="12">
        <f>2098600-25000-32200</f>
        <v>2041400</v>
      </c>
      <c r="I255" s="12"/>
      <c r="J255" s="11">
        <f t="shared" si="42"/>
        <v>5265000</v>
      </c>
      <c r="K255" s="12">
        <f>4000000-17000+420000</f>
        <v>4403000</v>
      </c>
      <c r="L255" s="12">
        <v>862000</v>
      </c>
      <c r="M255" s="12">
        <v>145000</v>
      </c>
      <c r="N255" s="12"/>
      <c r="O255" s="12">
        <f t="shared" si="43"/>
        <v>4403000</v>
      </c>
      <c r="P255" s="13">
        <f t="shared" si="36"/>
        <v>15371900</v>
      </c>
    </row>
    <row r="256" spans="1:18" hidden="1" x14ac:dyDescent="0.2">
      <c r="A256" s="41" t="s">
        <v>302</v>
      </c>
      <c r="B256" s="20" t="s">
        <v>301</v>
      </c>
      <c r="C256" s="20"/>
      <c r="D256" s="5" t="s">
        <v>300</v>
      </c>
      <c r="E256" s="11">
        <f t="shared" si="41"/>
        <v>0</v>
      </c>
      <c r="F256" s="12"/>
      <c r="G256" s="12"/>
      <c r="H256" s="12"/>
      <c r="I256" s="12">
        <f>I257+I258</f>
        <v>0</v>
      </c>
      <c r="J256" s="11">
        <f t="shared" si="42"/>
        <v>0</v>
      </c>
      <c r="K256" s="12"/>
      <c r="L256" s="12"/>
      <c r="M256" s="12"/>
      <c r="N256" s="12"/>
      <c r="O256" s="12">
        <f t="shared" si="43"/>
        <v>0</v>
      </c>
      <c r="P256" s="13">
        <f t="shared" si="36"/>
        <v>0</v>
      </c>
    </row>
    <row r="257" spans="1:18" x14ac:dyDescent="0.2">
      <c r="A257" s="41" t="s">
        <v>423</v>
      </c>
      <c r="B257" s="20" t="s">
        <v>421</v>
      </c>
      <c r="C257" s="20" t="s">
        <v>80</v>
      </c>
      <c r="D257" s="5" t="s">
        <v>425</v>
      </c>
      <c r="E257" s="11">
        <f t="shared" si="41"/>
        <v>2564100</v>
      </c>
      <c r="F257" s="12">
        <f>2594100-30000</f>
        <v>2564100</v>
      </c>
      <c r="G257" s="12">
        <v>1959500</v>
      </c>
      <c r="H257" s="12"/>
      <c r="I257" s="12"/>
      <c r="J257" s="11">
        <f t="shared" si="42"/>
        <v>97300</v>
      </c>
      <c r="K257" s="12">
        <f>67300+30000</f>
        <v>97300</v>
      </c>
      <c r="L257" s="12"/>
      <c r="M257" s="12"/>
      <c r="N257" s="12"/>
      <c r="O257" s="12">
        <f t="shared" si="43"/>
        <v>97300</v>
      </c>
      <c r="P257" s="13">
        <f t="shared" si="36"/>
        <v>2661400</v>
      </c>
    </row>
    <row r="258" spans="1:18" x14ac:dyDescent="0.2">
      <c r="A258" s="41" t="s">
        <v>424</v>
      </c>
      <c r="B258" s="20" t="s">
        <v>422</v>
      </c>
      <c r="C258" s="20" t="s">
        <v>80</v>
      </c>
      <c r="D258" s="5" t="s">
        <v>426</v>
      </c>
      <c r="E258" s="11">
        <f t="shared" si="41"/>
        <v>3190000</v>
      </c>
      <c r="F258" s="12">
        <v>3190000</v>
      </c>
      <c r="G258" s="12"/>
      <c r="H258" s="12"/>
      <c r="I258" s="12"/>
      <c r="J258" s="11">
        <f t="shared" si="42"/>
        <v>0</v>
      </c>
      <c r="K258" s="12"/>
      <c r="L258" s="12"/>
      <c r="M258" s="12"/>
      <c r="N258" s="12"/>
      <c r="O258" s="12">
        <f t="shared" si="43"/>
        <v>0</v>
      </c>
      <c r="P258" s="13">
        <f t="shared" si="36"/>
        <v>3190000</v>
      </c>
    </row>
    <row r="259" spans="1:18" ht="16.149999999999999" customHeight="1" x14ac:dyDescent="0.2">
      <c r="A259" s="62">
        <v>1100000</v>
      </c>
      <c r="B259" s="6"/>
      <c r="C259" s="83"/>
      <c r="D259" s="31" t="s">
        <v>612</v>
      </c>
      <c r="E259" s="25">
        <f>E260</f>
        <v>30740000</v>
      </c>
      <c r="F259" s="25">
        <f>F260</f>
        <v>30740000</v>
      </c>
      <c r="G259" s="25">
        <f>G260</f>
        <v>13935900</v>
      </c>
      <c r="H259" s="25">
        <f>H260</f>
        <v>1528800</v>
      </c>
      <c r="I259" s="25">
        <f>I260</f>
        <v>0</v>
      </c>
      <c r="J259" s="25">
        <f t="shared" ref="J259:P259" si="44">J260</f>
        <v>4092900</v>
      </c>
      <c r="K259" s="25">
        <f>K260</f>
        <v>3278200</v>
      </c>
      <c r="L259" s="25">
        <f t="shared" si="44"/>
        <v>814700</v>
      </c>
      <c r="M259" s="25">
        <f t="shared" si="44"/>
        <v>53800</v>
      </c>
      <c r="N259" s="25">
        <f t="shared" si="44"/>
        <v>137600</v>
      </c>
      <c r="O259" s="25">
        <f t="shared" si="44"/>
        <v>3278200</v>
      </c>
      <c r="P259" s="25">
        <f t="shared" si="44"/>
        <v>34832900</v>
      </c>
      <c r="R259" s="34"/>
    </row>
    <row r="260" spans="1:18" ht="30" customHeight="1" x14ac:dyDescent="0.2">
      <c r="A260" s="41">
        <v>1110000</v>
      </c>
      <c r="B260" s="8"/>
      <c r="C260" s="83"/>
      <c r="D260" s="15" t="s">
        <v>612</v>
      </c>
      <c r="E260" s="25">
        <f>E261+E264+E265+E267+E269+E272+E274+E275</f>
        <v>30740000</v>
      </c>
      <c r="F260" s="25">
        <f>F261+F264+F265+F267+F269+F272+F274+F275</f>
        <v>30740000</v>
      </c>
      <c r="G260" s="25">
        <f>G261+G251+G264+G265+G267+G269+G272+G274+G275</f>
        <v>13935900</v>
      </c>
      <c r="H260" s="25">
        <f>H261+H251+H264+H265+H267+H269+H272+H274+H275</f>
        <v>1528800</v>
      </c>
      <c r="I260" s="25">
        <f>I261+I251+I264+I265+I267+I269+I272+I274+I275</f>
        <v>0</v>
      </c>
      <c r="J260" s="25">
        <f>J261+J269+J272+J275+J274</f>
        <v>4092900</v>
      </c>
      <c r="K260" s="25">
        <f>K261+K262+K263+K268+K271+K266+K273+K272+K275+K274</f>
        <v>3278200</v>
      </c>
      <c r="L260" s="25">
        <f>L261+L262+L263+L268+L271+L266+L273+L272</f>
        <v>814700</v>
      </c>
      <c r="M260" s="25">
        <f>M261+M262+M263+M268+M271+M266+M273+M272</f>
        <v>53800</v>
      </c>
      <c r="N260" s="25">
        <f>N261+N262+N263+N268+N271+N266+N273+N272</f>
        <v>137600</v>
      </c>
      <c r="O260" s="25">
        <f>O261+O262+O263+O268+O271+O266+O273+O272</f>
        <v>3278200</v>
      </c>
      <c r="P260" s="25">
        <f>P261+P264+P265+P267+P269+P272+P274+P275</f>
        <v>34832900</v>
      </c>
    </row>
    <row r="261" spans="1:18" ht="25.5" x14ac:dyDescent="0.2">
      <c r="A261" s="41" t="s">
        <v>303</v>
      </c>
      <c r="B261" s="4" t="s">
        <v>201</v>
      </c>
      <c r="C261" s="26" t="s">
        <v>129</v>
      </c>
      <c r="D261" s="14" t="s">
        <v>613</v>
      </c>
      <c r="E261" s="11">
        <f t="shared" ref="E261:E275" si="45">F261+I261</f>
        <v>2609200</v>
      </c>
      <c r="F261" s="12">
        <f>3571700-824200-138300</f>
        <v>2609200</v>
      </c>
      <c r="G261" s="12">
        <f>2600000-675600</f>
        <v>1924400</v>
      </c>
      <c r="H261" s="12"/>
      <c r="I261" s="12"/>
      <c r="J261" s="11">
        <f>L261+O261</f>
        <v>0</v>
      </c>
      <c r="K261" s="12"/>
      <c r="L261" s="12"/>
      <c r="M261" s="12"/>
      <c r="N261" s="12"/>
      <c r="O261" s="12">
        <f t="shared" ref="O261:O272" si="46">K261</f>
        <v>0</v>
      </c>
      <c r="P261" s="13">
        <f t="shared" ref="P261:P277" si="47">E261+J261</f>
        <v>2609200</v>
      </c>
    </row>
    <row r="262" spans="1:18" hidden="1" x14ac:dyDescent="0.2">
      <c r="A262" s="41" t="s">
        <v>304</v>
      </c>
      <c r="B262" s="20" t="s">
        <v>162</v>
      </c>
      <c r="C262" s="27"/>
      <c r="D262" s="23" t="s">
        <v>156</v>
      </c>
      <c r="E262" s="11">
        <f t="shared" si="45"/>
        <v>0</v>
      </c>
      <c r="F262" s="12"/>
      <c r="G262" s="12"/>
      <c r="H262" s="12"/>
      <c r="I262" s="12"/>
      <c r="J262" s="11">
        <f t="shared" ref="J262:J275" si="48">L262+O262</f>
        <v>0</v>
      </c>
      <c r="K262" s="12"/>
      <c r="L262" s="12"/>
      <c r="M262" s="12"/>
      <c r="N262" s="12"/>
      <c r="O262" s="12">
        <f t="shared" si="46"/>
        <v>0</v>
      </c>
      <c r="P262" s="13">
        <f t="shared" si="47"/>
        <v>0</v>
      </c>
    </row>
    <row r="263" spans="1:18" ht="15.75" hidden="1" customHeight="1" x14ac:dyDescent="0.2">
      <c r="A263" s="41">
        <v>1115010</v>
      </c>
      <c r="B263" s="20" t="s">
        <v>157</v>
      </c>
      <c r="C263" s="27"/>
      <c r="D263" s="21" t="s">
        <v>31</v>
      </c>
      <c r="E263" s="11">
        <f t="shared" si="45"/>
        <v>0</v>
      </c>
      <c r="F263" s="12"/>
      <c r="G263" s="12"/>
      <c r="H263" s="12"/>
      <c r="I263" s="12">
        <f>SUM(I264:I265)</f>
        <v>0</v>
      </c>
      <c r="J263" s="11">
        <f t="shared" si="48"/>
        <v>0</v>
      </c>
      <c r="K263" s="12">
        <f>SUM(K264:K265)</f>
        <v>0</v>
      </c>
      <c r="L263" s="12">
        <f>SUM(L264:L265)</f>
        <v>0</v>
      </c>
      <c r="M263" s="12">
        <f>SUM(M264:M265)</f>
        <v>0</v>
      </c>
      <c r="N263" s="12">
        <f>SUM(N264:N265)</f>
        <v>0</v>
      </c>
      <c r="O263" s="12">
        <f t="shared" si="46"/>
        <v>0</v>
      </c>
      <c r="P263" s="13">
        <f t="shared" si="47"/>
        <v>0</v>
      </c>
    </row>
    <row r="264" spans="1:18" ht="15.75" customHeight="1" x14ac:dyDescent="0.2">
      <c r="A264" s="41">
        <v>1115011</v>
      </c>
      <c r="B264" s="20" t="s">
        <v>45</v>
      </c>
      <c r="C264" s="27" t="s">
        <v>15</v>
      </c>
      <c r="D264" s="5" t="s">
        <v>100</v>
      </c>
      <c r="E264" s="11">
        <f t="shared" si="45"/>
        <v>1250000</v>
      </c>
      <c r="F264" s="12">
        <f>120000+1130000</f>
        <v>1250000</v>
      </c>
      <c r="G264" s="12"/>
      <c r="H264" s="12"/>
      <c r="I264" s="12"/>
      <c r="J264" s="11">
        <f t="shared" si="48"/>
        <v>0</v>
      </c>
      <c r="K264" s="12"/>
      <c r="L264" s="12"/>
      <c r="M264" s="12"/>
      <c r="N264" s="12"/>
      <c r="O264" s="12">
        <f t="shared" si="46"/>
        <v>0</v>
      </c>
      <c r="P264" s="13">
        <f t="shared" si="47"/>
        <v>1250000</v>
      </c>
    </row>
    <row r="265" spans="1:18" ht="19.5" customHeight="1" x14ac:dyDescent="0.2">
      <c r="A265" s="41">
        <v>1115012</v>
      </c>
      <c r="B265" s="20" t="s">
        <v>25</v>
      </c>
      <c r="C265" s="27" t="s">
        <v>15</v>
      </c>
      <c r="D265" s="23" t="s">
        <v>24</v>
      </c>
      <c r="E265" s="11">
        <f t="shared" si="45"/>
        <v>836000</v>
      </c>
      <c r="F265" s="12">
        <f>76000+760000</f>
        <v>836000</v>
      </c>
      <c r="G265" s="12"/>
      <c r="H265" s="12"/>
      <c r="I265" s="12"/>
      <c r="J265" s="11">
        <f t="shared" si="48"/>
        <v>0</v>
      </c>
      <c r="K265" s="12"/>
      <c r="L265" s="12"/>
      <c r="M265" s="12"/>
      <c r="N265" s="12"/>
      <c r="O265" s="12">
        <f t="shared" si="46"/>
        <v>0</v>
      </c>
      <c r="P265" s="13">
        <f t="shared" si="47"/>
        <v>836000</v>
      </c>
    </row>
    <row r="266" spans="1:18" ht="15.75" hidden="1" customHeight="1" x14ac:dyDescent="0.2">
      <c r="A266" s="41" t="s">
        <v>390</v>
      </c>
      <c r="B266" s="20" t="s">
        <v>391</v>
      </c>
      <c r="C266" s="27"/>
      <c r="D266" s="23" t="s">
        <v>435</v>
      </c>
      <c r="E266" s="11">
        <f t="shared" si="45"/>
        <v>0</v>
      </c>
      <c r="F266" s="12"/>
      <c r="G266" s="12"/>
      <c r="H266" s="12"/>
      <c r="I266" s="12">
        <f>I267</f>
        <v>0</v>
      </c>
      <c r="J266" s="11">
        <f t="shared" si="48"/>
        <v>0</v>
      </c>
      <c r="K266" s="12">
        <f>K267</f>
        <v>0</v>
      </c>
      <c r="L266" s="12">
        <f>L267</f>
        <v>0</v>
      </c>
      <c r="M266" s="12">
        <f>M267</f>
        <v>0</v>
      </c>
      <c r="N266" s="12">
        <f>N267</f>
        <v>0</v>
      </c>
      <c r="O266" s="12">
        <f t="shared" si="46"/>
        <v>0</v>
      </c>
      <c r="P266" s="13">
        <f t="shared" si="47"/>
        <v>0</v>
      </c>
    </row>
    <row r="267" spans="1:18" ht="26.25" customHeight="1" x14ac:dyDescent="0.2">
      <c r="A267" s="41" t="s">
        <v>393</v>
      </c>
      <c r="B267" s="20" t="s">
        <v>392</v>
      </c>
      <c r="C267" s="27" t="s">
        <v>15</v>
      </c>
      <c r="D267" s="23" t="s">
        <v>436</v>
      </c>
      <c r="E267" s="11">
        <f t="shared" si="45"/>
        <v>14000</v>
      </c>
      <c r="F267" s="12">
        <f>54000-40000</f>
        <v>14000</v>
      </c>
      <c r="G267" s="12"/>
      <c r="H267" s="12"/>
      <c r="I267" s="12"/>
      <c r="J267" s="11">
        <f t="shared" si="48"/>
        <v>0</v>
      </c>
      <c r="K267" s="12"/>
      <c r="L267" s="12"/>
      <c r="M267" s="12"/>
      <c r="N267" s="12"/>
      <c r="O267" s="12">
        <f t="shared" si="46"/>
        <v>0</v>
      </c>
      <c r="P267" s="13">
        <f t="shared" si="47"/>
        <v>14000</v>
      </c>
    </row>
    <row r="268" spans="1:18" hidden="1" x14ac:dyDescent="0.2">
      <c r="A268" s="41">
        <v>1115030</v>
      </c>
      <c r="B268" s="20" t="s">
        <v>158</v>
      </c>
      <c r="C268" s="27"/>
      <c r="D268" s="5" t="s">
        <v>150</v>
      </c>
      <c r="E268" s="11">
        <f t="shared" si="45"/>
        <v>0</v>
      </c>
      <c r="F268" s="12"/>
      <c r="G268" s="12"/>
      <c r="H268" s="12"/>
      <c r="I268" s="12">
        <f t="shared" ref="I268:N268" si="49">SUM(I269)</f>
        <v>0</v>
      </c>
      <c r="J268" s="11">
        <f t="shared" si="48"/>
        <v>3369300</v>
      </c>
      <c r="K268" s="12">
        <f>SUM(K269)</f>
        <v>2624000</v>
      </c>
      <c r="L268" s="12">
        <f t="shared" si="49"/>
        <v>745300</v>
      </c>
      <c r="M268" s="12">
        <f t="shared" si="49"/>
        <v>43700</v>
      </c>
      <c r="N268" s="12">
        <f t="shared" si="49"/>
        <v>119100</v>
      </c>
      <c r="O268" s="12">
        <f t="shared" si="46"/>
        <v>2624000</v>
      </c>
      <c r="P268" s="13">
        <f t="shared" si="47"/>
        <v>3369300</v>
      </c>
    </row>
    <row r="269" spans="1:18" ht="25.5" x14ac:dyDescent="0.2">
      <c r="A269" s="41">
        <v>1115031</v>
      </c>
      <c r="B269" s="20" t="s">
        <v>151</v>
      </c>
      <c r="C269" s="27" t="s">
        <v>15</v>
      </c>
      <c r="D269" s="5" t="s">
        <v>101</v>
      </c>
      <c r="E269" s="11">
        <f t="shared" si="45"/>
        <v>16538500</v>
      </c>
      <c r="F269" s="12">
        <f>15062500+1250000+31200+194800</f>
        <v>16538500</v>
      </c>
      <c r="G269" s="12">
        <f>9892200+820000</f>
        <v>10712200</v>
      </c>
      <c r="H269" s="12">
        <f>1407000+43100</f>
        <v>1450100</v>
      </c>
      <c r="I269" s="12"/>
      <c r="J269" s="11">
        <f t="shared" si="48"/>
        <v>3369300</v>
      </c>
      <c r="K269" s="12">
        <f>2450000+368800-194800</f>
        <v>2624000</v>
      </c>
      <c r="L269" s="12">
        <v>745300</v>
      </c>
      <c r="M269" s="12">
        <v>43700</v>
      </c>
      <c r="N269" s="12">
        <v>119100</v>
      </c>
      <c r="O269" s="12">
        <f t="shared" si="46"/>
        <v>2624000</v>
      </c>
      <c r="P269" s="13">
        <f t="shared" si="47"/>
        <v>19907800</v>
      </c>
    </row>
    <row r="270" spans="1:18" s="1" customFormat="1" ht="18" hidden="1" customHeight="1" x14ac:dyDescent="0.2">
      <c r="A270" s="36"/>
      <c r="B270" s="22"/>
      <c r="C270" s="28"/>
      <c r="D270" s="35" t="s">
        <v>485</v>
      </c>
      <c r="E270" s="10"/>
      <c r="F270" s="17"/>
      <c r="G270" s="17"/>
      <c r="H270" s="17"/>
      <c r="I270" s="17"/>
      <c r="J270" s="10">
        <f>L270+O270</f>
        <v>0</v>
      </c>
      <c r="K270" s="17"/>
      <c r="L270" s="17"/>
      <c r="M270" s="17"/>
      <c r="N270" s="17"/>
      <c r="O270" s="17">
        <f>K270</f>
        <v>0</v>
      </c>
      <c r="P270" s="16">
        <f t="shared" si="47"/>
        <v>0</v>
      </c>
    </row>
    <row r="271" spans="1:18" ht="18.75" hidden="1" customHeight="1" x14ac:dyDescent="0.2">
      <c r="A271" s="41">
        <v>1115040</v>
      </c>
      <c r="B271" s="20" t="s">
        <v>152</v>
      </c>
      <c r="C271" s="27"/>
      <c r="D271" s="5" t="s">
        <v>153</v>
      </c>
      <c r="E271" s="11">
        <f>E272</f>
        <v>7415066</v>
      </c>
      <c r="F271" s="11"/>
      <c r="G271" s="11"/>
      <c r="H271" s="11"/>
      <c r="I271" s="11">
        <f>I272</f>
        <v>0</v>
      </c>
      <c r="J271" s="11">
        <f t="shared" si="48"/>
        <v>0</v>
      </c>
      <c r="K271" s="11"/>
      <c r="L271" s="11"/>
      <c r="M271" s="11"/>
      <c r="N271" s="11"/>
      <c r="O271" s="12">
        <f t="shared" si="46"/>
        <v>0</v>
      </c>
      <c r="P271" s="13">
        <f t="shared" si="47"/>
        <v>7415066</v>
      </c>
    </row>
    <row r="272" spans="1:18" ht="17.25" customHeight="1" x14ac:dyDescent="0.2">
      <c r="A272" s="41">
        <v>1115041</v>
      </c>
      <c r="B272" s="20" t="s">
        <v>154</v>
      </c>
      <c r="C272" s="27" t="s">
        <v>15</v>
      </c>
      <c r="D272" s="5" t="s">
        <v>305</v>
      </c>
      <c r="E272" s="11">
        <f t="shared" si="45"/>
        <v>7415066</v>
      </c>
      <c r="F272" s="12">
        <f>7453400-38334</f>
        <v>7415066</v>
      </c>
      <c r="G272" s="12">
        <f>265100-30145</f>
        <v>234955</v>
      </c>
      <c r="H272" s="12">
        <f>485000-406300</f>
        <v>78700</v>
      </c>
      <c r="I272" s="12"/>
      <c r="J272" s="11">
        <f t="shared" si="48"/>
        <v>303400</v>
      </c>
      <c r="K272" s="12">
        <f>551400+37800-505200+150000</f>
        <v>234000</v>
      </c>
      <c r="L272" s="12">
        <v>69400</v>
      </c>
      <c r="M272" s="12">
        <v>10100</v>
      </c>
      <c r="N272" s="12">
        <v>18500</v>
      </c>
      <c r="O272" s="12">
        <f t="shared" si="46"/>
        <v>234000</v>
      </c>
      <c r="P272" s="13">
        <f t="shared" si="47"/>
        <v>7718466</v>
      </c>
    </row>
    <row r="273" spans="1:18" ht="12.75" hidden="1" customHeight="1" x14ac:dyDescent="0.2">
      <c r="A273" s="41" t="s">
        <v>458</v>
      </c>
      <c r="B273" s="20" t="s">
        <v>460</v>
      </c>
      <c r="C273" s="27"/>
      <c r="D273" s="5" t="s">
        <v>459</v>
      </c>
      <c r="E273" s="11">
        <f>E274+E275</f>
        <v>2077234</v>
      </c>
      <c r="F273" s="11"/>
      <c r="G273" s="11"/>
      <c r="H273" s="11"/>
      <c r="I273" s="11">
        <f t="shared" ref="I273:O273" si="50">I274+I275</f>
        <v>0</v>
      </c>
      <c r="J273" s="11">
        <f t="shared" si="50"/>
        <v>420200</v>
      </c>
      <c r="K273" s="11"/>
      <c r="L273" s="11"/>
      <c r="M273" s="11"/>
      <c r="N273" s="11"/>
      <c r="O273" s="11">
        <f t="shared" si="50"/>
        <v>420200</v>
      </c>
      <c r="P273" s="13">
        <f t="shared" si="47"/>
        <v>2497434</v>
      </c>
    </row>
    <row r="274" spans="1:18" s="1" customFormat="1" ht="25.5" x14ac:dyDescent="0.2">
      <c r="A274" s="36" t="s">
        <v>665</v>
      </c>
      <c r="B274" s="22" t="s">
        <v>666</v>
      </c>
      <c r="C274" s="28" t="s">
        <v>15</v>
      </c>
      <c r="D274" s="5" t="s">
        <v>667</v>
      </c>
      <c r="E274" s="11">
        <f t="shared" si="45"/>
        <v>1079934</v>
      </c>
      <c r="F274" s="17">
        <f>1639934+40000-600000</f>
        <v>1079934</v>
      </c>
      <c r="G274" s="17">
        <v>388345</v>
      </c>
      <c r="H274" s="17"/>
      <c r="I274" s="17"/>
      <c r="J274" s="11">
        <f t="shared" si="48"/>
        <v>355200</v>
      </c>
      <c r="K274" s="17">
        <v>355200</v>
      </c>
      <c r="L274" s="17"/>
      <c r="M274" s="17"/>
      <c r="N274" s="17"/>
      <c r="O274" s="12">
        <f>K274</f>
        <v>355200</v>
      </c>
      <c r="P274" s="16">
        <f t="shared" si="47"/>
        <v>1435134</v>
      </c>
    </row>
    <row r="275" spans="1:18" s="1" customFormat="1" ht="17.25" customHeight="1" x14ac:dyDescent="0.2">
      <c r="A275" s="36" t="s">
        <v>503</v>
      </c>
      <c r="B275" s="22" t="s">
        <v>504</v>
      </c>
      <c r="C275" s="28" t="s">
        <v>15</v>
      </c>
      <c r="D275" s="47" t="s">
        <v>505</v>
      </c>
      <c r="E275" s="11">
        <f t="shared" si="45"/>
        <v>997300</v>
      </c>
      <c r="F275" s="17">
        <f>1998900-1001600</f>
        <v>997300</v>
      </c>
      <c r="G275" s="17">
        <f>1076000-400000</f>
        <v>676000</v>
      </c>
      <c r="H275" s="17"/>
      <c r="I275" s="17"/>
      <c r="J275" s="11">
        <f t="shared" si="48"/>
        <v>65000</v>
      </c>
      <c r="K275" s="17">
        <f>1020200-355200-600000</f>
        <v>65000</v>
      </c>
      <c r="L275" s="17"/>
      <c r="M275" s="17"/>
      <c r="N275" s="17"/>
      <c r="O275" s="12">
        <f>K275</f>
        <v>65000</v>
      </c>
      <c r="P275" s="16">
        <f t="shared" si="47"/>
        <v>1062300</v>
      </c>
    </row>
    <row r="276" spans="1:18" ht="25.5" hidden="1" x14ac:dyDescent="0.2">
      <c r="A276" s="62">
        <v>1200000</v>
      </c>
      <c r="B276" s="6"/>
      <c r="C276" s="7"/>
      <c r="D276" s="31" t="s">
        <v>81</v>
      </c>
      <c r="E276" s="25">
        <f>E278</f>
        <v>0</v>
      </c>
      <c r="F276" s="25">
        <f t="shared" ref="F276:O276" si="51">F278</f>
        <v>0</v>
      </c>
      <c r="G276" s="25">
        <f t="shared" si="51"/>
        <v>0</v>
      </c>
      <c r="H276" s="25">
        <f t="shared" si="51"/>
        <v>0</v>
      </c>
      <c r="I276" s="25">
        <f t="shared" si="51"/>
        <v>0</v>
      </c>
      <c r="J276" s="25">
        <f t="shared" si="51"/>
        <v>0</v>
      </c>
      <c r="K276" s="25">
        <f t="shared" si="51"/>
        <v>0</v>
      </c>
      <c r="L276" s="25">
        <f t="shared" si="51"/>
        <v>0</v>
      </c>
      <c r="M276" s="25">
        <f t="shared" si="51"/>
        <v>0</v>
      </c>
      <c r="N276" s="25">
        <f t="shared" si="51"/>
        <v>0</v>
      </c>
      <c r="O276" s="25">
        <f t="shared" si="51"/>
        <v>0</v>
      </c>
      <c r="P276" s="13">
        <f t="shared" si="47"/>
        <v>0</v>
      </c>
      <c r="R276" s="34"/>
    </row>
    <row r="277" spans="1:18" s="1" customFormat="1" hidden="1" x14ac:dyDescent="0.2">
      <c r="A277" s="36"/>
      <c r="B277" s="18"/>
      <c r="C277" s="3"/>
      <c r="D277" s="15" t="s">
        <v>485</v>
      </c>
      <c r="E277" s="25">
        <f>F277+I277</f>
        <v>0</v>
      </c>
      <c r="F277" s="17">
        <f>F292+F300</f>
        <v>0</v>
      </c>
      <c r="G277" s="17"/>
      <c r="H277" s="17"/>
      <c r="I277" s="17"/>
      <c r="J277" s="17">
        <f>K277+L277</f>
        <v>0</v>
      </c>
      <c r="K277" s="17">
        <f>K283+K288</f>
        <v>0</v>
      </c>
      <c r="L277" s="17"/>
      <c r="M277" s="17"/>
      <c r="N277" s="17"/>
      <c r="O277" s="17">
        <f>K277</f>
        <v>0</v>
      </c>
      <c r="P277" s="16">
        <f t="shared" si="47"/>
        <v>0</v>
      </c>
    </row>
    <row r="278" spans="1:18" ht="25.5" hidden="1" x14ac:dyDescent="0.2">
      <c r="A278" s="41" t="s">
        <v>306</v>
      </c>
      <c r="B278" s="8"/>
      <c r="C278" s="7"/>
      <c r="D278" s="15" t="s">
        <v>119</v>
      </c>
      <c r="E278" s="25">
        <f>E279+E280+E281+E290+E291+E337+E287+E297+E368+E302+E303+E369+E294+E293+E304+E289+E305+E298+E284</f>
        <v>0</v>
      </c>
      <c r="F278" s="40">
        <f>F279+F280+F281+F290+F291+F337+F287+F297+F368+F302+F303+F369+F294+F293+F304+F289+F305+F298+F284</f>
        <v>0</v>
      </c>
      <c r="G278" s="25">
        <f>G279+G280+G281+G290+G291+G337+G287+G297+G368+G302+G303+G369+G294+G293+G304+G289+G305+G298</f>
        <v>0</v>
      </c>
      <c r="H278" s="25">
        <f>H279+H280+H281+H290+H291+H337+H287+H297+H368+H302+H303+H369+H294+H293+H304+H289+H305+H298</f>
        <v>0</v>
      </c>
      <c r="I278" s="25">
        <f>I279+I280+I281+I290+I291+I337+I287+I297+I368+I302+I303+I369+I294+I293+I304+I289+I305+I298</f>
        <v>0</v>
      </c>
      <c r="J278" s="25">
        <f>J279</f>
        <v>0</v>
      </c>
      <c r="K278" s="29">
        <f>K279</f>
        <v>0</v>
      </c>
      <c r="L278" s="25">
        <f>L279+L280+L281+L290+L291+L337+L287+L297+L368+L302+L303+L369+L294+L293+L289+L333+L282+L296</f>
        <v>0</v>
      </c>
      <c r="M278" s="25">
        <f>M279+M280+M281+M290+M291+M337+M287+M297+M368+M302+M303+M369+M294+M293+M289+M333+M282+M296</f>
        <v>0</v>
      </c>
      <c r="N278" s="25">
        <f>N279+N280+N281+N290+N291+N337+N287+N297+N368+N302+N303+N369+N294+N293+N289+N333+N282+N296</f>
        <v>0</v>
      </c>
      <c r="O278" s="29">
        <f>O279</f>
        <v>0</v>
      </c>
      <c r="P278" s="25">
        <f>P279</f>
        <v>0</v>
      </c>
    </row>
    <row r="279" spans="1:18" ht="25.5" hidden="1" x14ac:dyDescent="0.2">
      <c r="A279" s="41" t="s">
        <v>307</v>
      </c>
      <c r="B279" s="4" t="s">
        <v>201</v>
      </c>
      <c r="C279" s="4" t="s">
        <v>129</v>
      </c>
      <c r="D279" s="14" t="s">
        <v>613</v>
      </c>
      <c r="E279" s="11">
        <f t="shared" ref="E279:E301" si="52">F279+I279</f>
        <v>0</v>
      </c>
      <c r="F279" s="12"/>
      <c r="G279" s="12"/>
      <c r="H279" s="12"/>
      <c r="I279" s="12"/>
      <c r="J279" s="11">
        <f>L279+O279</f>
        <v>0</v>
      </c>
      <c r="K279" s="12"/>
      <c r="L279" s="12"/>
      <c r="M279" s="12"/>
      <c r="N279" s="12"/>
      <c r="O279" s="12">
        <f t="shared" ref="O279:O303" si="53">K279</f>
        <v>0</v>
      </c>
      <c r="P279" s="13">
        <f t="shared" ref="P279:P294" si="54">E279+J279</f>
        <v>0</v>
      </c>
    </row>
    <row r="280" spans="1:18" ht="25.5" hidden="1" x14ac:dyDescent="0.2">
      <c r="A280" s="41">
        <v>4016010</v>
      </c>
      <c r="B280" s="4" t="s">
        <v>67</v>
      </c>
      <c r="C280" s="4" t="s">
        <v>132</v>
      </c>
      <c r="D280" s="75" t="s">
        <v>88</v>
      </c>
      <c r="E280" s="11">
        <f t="shared" si="52"/>
        <v>0</v>
      </c>
      <c r="F280" s="12"/>
      <c r="G280" s="12"/>
      <c r="H280" s="12"/>
      <c r="I280" s="12"/>
      <c r="J280" s="11">
        <f t="shared" ref="J280:J301" si="55">L280+O280</f>
        <v>0</v>
      </c>
      <c r="K280" s="12"/>
      <c r="L280" s="12"/>
      <c r="M280" s="12"/>
      <c r="N280" s="12"/>
      <c r="O280" s="12">
        <f t="shared" si="53"/>
        <v>0</v>
      </c>
      <c r="P280" s="13">
        <f t="shared" si="54"/>
        <v>0</v>
      </c>
    </row>
    <row r="281" spans="1:18" hidden="1" x14ac:dyDescent="0.2">
      <c r="A281" s="41" t="s">
        <v>309</v>
      </c>
      <c r="B281" s="4" t="s">
        <v>67</v>
      </c>
      <c r="C281" s="4"/>
      <c r="D281" s="84" t="s">
        <v>308</v>
      </c>
      <c r="E281" s="11">
        <f t="shared" si="52"/>
        <v>0</v>
      </c>
      <c r="F281" s="11"/>
      <c r="G281" s="11"/>
      <c r="H281" s="11"/>
      <c r="I281" s="11">
        <f>I282+I285+I286+I284+I333</f>
        <v>0</v>
      </c>
      <c r="J281" s="11">
        <f t="shared" si="55"/>
        <v>0</v>
      </c>
      <c r="K281" s="11"/>
      <c r="L281" s="11"/>
      <c r="M281" s="11"/>
      <c r="N281" s="11">
        <f>N282+N285+N286+N284+N333</f>
        <v>0</v>
      </c>
      <c r="O281" s="12">
        <f t="shared" si="53"/>
        <v>0</v>
      </c>
      <c r="P281" s="13">
        <f t="shared" si="54"/>
        <v>0</v>
      </c>
    </row>
    <row r="282" spans="1:18" s="1" customFormat="1" hidden="1" x14ac:dyDescent="0.2">
      <c r="A282" s="36" t="s">
        <v>312</v>
      </c>
      <c r="B282" s="3" t="s">
        <v>311</v>
      </c>
      <c r="C282" s="3" t="s">
        <v>132</v>
      </c>
      <c r="D282" s="19" t="s">
        <v>310</v>
      </c>
      <c r="E282" s="10">
        <f t="shared" si="52"/>
        <v>0</v>
      </c>
      <c r="F282" s="17"/>
      <c r="G282" s="17"/>
      <c r="H282" s="17"/>
      <c r="I282" s="17"/>
      <c r="J282" s="11">
        <f t="shared" si="55"/>
        <v>0</v>
      </c>
      <c r="K282" s="17"/>
      <c r="L282" s="17"/>
      <c r="M282" s="17"/>
      <c r="N282" s="17"/>
      <c r="O282" s="12">
        <f t="shared" si="53"/>
        <v>0</v>
      </c>
      <c r="P282" s="13">
        <f t="shared" si="54"/>
        <v>0</v>
      </c>
    </row>
    <row r="283" spans="1:18" s="1" customFormat="1" hidden="1" x14ac:dyDescent="0.2">
      <c r="A283" s="36"/>
      <c r="B283" s="3"/>
      <c r="C283" s="3"/>
      <c r="D283" s="15" t="s">
        <v>485</v>
      </c>
      <c r="E283" s="10"/>
      <c r="F283" s="17"/>
      <c r="G283" s="17"/>
      <c r="H283" s="17"/>
      <c r="I283" s="17"/>
      <c r="J283" s="11">
        <f t="shared" si="55"/>
        <v>0</v>
      </c>
      <c r="K283" s="17"/>
      <c r="L283" s="17"/>
      <c r="M283" s="17"/>
      <c r="N283" s="17"/>
      <c r="O283" s="12">
        <f t="shared" si="53"/>
        <v>0</v>
      </c>
      <c r="P283" s="13">
        <f t="shared" si="54"/>
        <v>0</v>
      </c>
    </row>
    <row r="284" spans="1:18" hidden="1" x14ac:dyDescent="0.2">
      <c r="A284" s="41" t="s">
        <v>465</v>
      </c>
      <c r="B284" s="4" t="s">
        <v>466</v>
      </c>
      <c r="C284" s="4" t="s">
        <v>82</v>
      </c>
      <c r="D284" s="21" t="s">
        <v>467</v>
      </c>
      <c r="E284" s="11">
        <f t="shared" si="52"/>
        <v>0</v>
      </c>
      <c r="F284" s="12"/>
      <c r="G284" s="12"/>
      <c r="H284" s="12"/>
      <c r="I284" s="12"/>
      <c r="J284" s="11">
        <f t="shared" si="55"/>
        <v>0</v>
      </c>
      <c r="K284" s="12"/>
      <c r="L284" s="12"/>
      <c r="M284" s="12"/>
      <c r="N284" s="12"/>
      <c r="O284" s="12">
        <f t="shared" si="53"/>
        <v>0</v>
      </c>
      <c r="P284" s="13">
        <f t="shared" si="54"/>
        <v>0</v>
      </c>
    </row>
    <row r="285" spans="1:18" s="1" customFormat="1" hidden="1" x14ac:dyDescent="0.2">
      <c r="A285" s="36" t="s">
        <v>314</v>
      </c>
      <c r="B285" s="3" t="s">
        <v>313</v>
      </c>
      <c r="C285" s="3" t="s">
        <v>82</v>
      </c>
      <c r="D285" s="19" t="s">
        <v>315</v>
      </c>
      <c r="E285" s="10">
        <f t="shared" si="52"/>
        <v>0</v>
      </c>
      <c r="F285" s="17"/>
      <c r="G285" s="17"/>
      <c r="H285" s="17"/>
      <c r="I285" s="17"/>
      <c r="J285" s="11">
        <f t="shared" si="55"/>
        <v>0</v>
      </c>
      <c r="K285" s="17"/>
      <c r="L285" s="17"/>
      <c r="M285" s="17"/>
      <c r="N285" s="17"/>
      <c r="O285" s="12">
        <f t="shared" si="53"/>
        <v>0</v>
      </c>
      <c r="P285" s="13">
        <f t="shared" si="54"/>
        <v>0</v>
      </c>
    </row>
    <row r="286" spans="1:18" s="1" customFormat="1" ht="25.5" hidden="1" x14ac:dyDescent="0.2">
      <c r="A286" s="36" t="s">
        <v>319</v>
      </c>
      <c r="B286" s="3" t="s">
        <v>320</v>
      </c>
      <c r="C286" s="3" t="s">
        <v>82</v>
      </c>
      <c r="D286" s="19" t="s">
        <v>173</v>
      </c>
      <c r="E286" s="10">
        <f t="shared" si="52"/>
        <v>0</v>
      </c>
      <c r="F286" s="17"/>
      <c r="G286" s="17"/>
      <c r="H286" s="17"/>
      <c r="I286" s="17"/>
      <c r="J286" s="11">
        <f t="shared" si="55"/>
        <v>0</v>
      </c>
      <c r="K286" s="17"/>
      <c r="L286" s="17"/>
      <c r="M286" s="17"/>
      <c r="N286" s="17"/>
      <c r="O286" s="12">
        <f t="shared" si="53"/>
        <v>0</v>
      </c>
      <c r="P286" s="13">
        <f t="shared" si="54"/>
        <v>0</v>
      </c>
    </row>
    <row r="287" spans="1:18" ht="29.25" hidden="1" customHeight="1" x14ac:dyDescent="0.2">
      <c r="A287" s="41" t="s">
        <v>324</v>
      </c>
      <c r="B287" s="85">
        <v>6020</v>
      </c>
      <c r="C287" s="4" t="s">
        <v>82</v>
      </c>
      <c r="D287" s="5" t="s">
        <v>323</v>
      </c>
      <c r="E287" s="10">
        <f t="shared" si="52"/>
        <v>0</v>
      </c>
      <c r="F287" s="12"/>
      <c r="G287" s="12"/>
      <c r="H287" s="12"/>
      <c r="I287" s="12"/>
      <c r="J287" s="11">
        <f t="shared" si="55"/>
        <v>0</v>
      </c>
      <c r="K287" s="12"/>
      <c r="L287" s="12"/>
      <c r="M287" s="12"/>
      <c r="N287" s="12"/>
      <c r="O287" s="12">
        <f>K287</f>
        <v>0</v>
      </c>
      <c r="P287" s="13">
        <f>E287+J287</f>
        <v>0</v>
      </c>
    </row>
    <row r="288" spans="1:18" s="1" customFormat="1" hidden="1" x14ac:dyDescent="0.2">
      <c r="A288" s="36"/>
      <c r="B288" s="86"/>
      <c r="C288" s="3"/>
      <c r="D288" s="15" t="s">
        <v>485</v>
      </c>
      <c r="E288" s="10">
        <f t="shared" si="52"/>
        <v>0</v>
      </c>
      <c r="F288" s="17"/>
      <c r="G288" s="17"/>
      <c r="H288" s="17"/>
      <c r="I288" s="17"/>
      <c r="J288" s="10">
        <f t="shared" si="55"/>
        <v>0</v>
      </c>
      <c r="K288" s="17"/>
      <c r="L288" s="17"/>
      <c r="M288" s="17"/>
      <c r="N288" s="17"/>
      <c r="O288" s="17">
        <f>K288</f>
        <v>0</v>
      </c>
      <c r="P288" s="16">
        <f>E288+J288</f>
        <v>0</v>
      </c>
    </row>
    <row r="289" spans="1:16" ht="25.5" hidden="1" x14ac:dyDescent="0.2">
      <c r="A289" s="41" t="s">
        <v>324</v>
      </c>
      <c r="B289" s="85">
        <v>6020</v>
      </c>
      <c r="C289" s="4" t="s">
        <v>82</v>
      </c>
      <c r="D289" s="15" t="s">
        <v>323</v>
      </c>
      <c r="E289" s="10">
        <f t="shared" si="52"/>
        <v>0</v>
      </c>
      <c r="F289" s="12"/>
      <c r="G289" s="12"/>
      <c r="H289" s="12"/>
      <c r="I289" s="12"/>
      <c r="J289" s="11">
        <f t="shared" si="55"/>
        <v>0</v>
      </c>
      <c r="K289" s="12"/>
      <c r="L289" s="12"/>
      <c r="M289" s="12"/>
      <c r="N289" s="12"/>
      <c r="O289" s="12">
        <f>K289</f>
        <v>0</v>
      </c>
      <c r="P289" s="13">
        <f>E289+J289</f>
        <v>0</v>
      </c>
    </row>
    <row r="290" spans="1:16" ht="15" hidden="1" customHeight="1" x14ac:dyDescent="0.2">
      <c r="A290" s="41" t="s">
        <v>318</v>
      </c>
      <c r="B290" s="4" t="s">
        <v>317</v>
      </c>
      <c r="C290" s="4" t="s">
        <v>82</v>
      </c>
      <c r="D290" s="21" t="s">
        <v>316</v>
      </c>
      <c r="E290" s="11">
        <f t="shared" si="52"/>
        <v>0</v>
      </c>
      <c r="F290" s="87"/>
      <c r="G290" s="87"/>
      <c r="H290" s="87"/>
      <c r="I290" s="30"/>
      <c r="J290" s="11">
        <f t="shared" si="55"/>
        <v>0</v>
      </c>
      <c r="K290" s="30"/>
      <c r="L290" s="30"/>
      <c r="M290" s="30"/>
      <c r="N290" s="30"/>
      <c r="O290" s="30">
        <f>K290</f>
        <v>0</v>
      </c>
      <c r="P290" s="13">
        <f t="shared" si="54"/>
        <v>0</v>
      </c>
    </row>
    <row r="291" spans="1:16" ht="29.25" hidden="1" customHeight="1" x14ac:dyDescent="0.2">
      <c r="A291" s="41">
        <v>4016100</v>
      </c>
      <c r="B291" s="81" t="s">
        <v>172</v>
      </c>
      <c r="C291" s="81" t="s">
        <v>82</v>
      </c>
      <c r="D291" s="23" t="s">
        <v>173</v>
      </c>
      <c r="E291" s="11">
        <f t="shared" si="52"/>
        <v>0</v>
      </c>
      <c r="F291" s="12"/>
      <c r="G291" s="12"/>
      <c r="H291" s="12"/>
      <c r="I291" s="12"/>
      <c r="J291" s="11">
        <f t="shared" si="55"/>
        <v>0</v>
      </c>
      <c r="K291" s="12"/>
      <c r="L291" s="12"/>
      <c r="M291" s="12"/>
      <c r="N291" s="12"/>
      <c r="O291" s="12">
        <f>K291</f>
        <v>0</v>
      </c>
      <c r="P291" s="13">
        <f t="shared" si="54"/>
        <v>0</v>
      </c>
    </row>
    <row r="292" spans="1:16" hidden="1" x14ac:dyDescent="0.2">
      <c r="A292" s="41"/>
      <c r="B292" s="81"/>
      <c r="C292" s="81"/>
      <c r="D292" s="15" t="s">
        <v>485</v>
      </c>
      <c r="E292" s="10">
        <f t="shared" si="52"/>
        <v>0</v>
      </c>
      <c r="F292" s="17"/>
      <c r="G292" s="12"/>
      <c r="H292" s="12"/>
      <c r="I292" s="12"/>
      <c r="J292" s="11"/>
      <c r="K292" s="12"/>
      <c r="L292" s="12"/>
      <c r="M292" s="12"/>
      <c r="N292" s="12"/>
      <c r="O292" s="12"/>
      <c r="P292" s="16">
        <f t="shared" si="54"/>
        <v>0</v>
      </c>
    </row>
    <row r="293" spans="1:16" ht="15.75" hidden="1" x14ac:dyDescent="0.25">
      <c r="A293" s="41" t="s">
        <v>322</v>
      </c>
      <c r="B293" s="81" t="s">
        <v>321</v>
      </c>
      <c r="C293" s="81" t="s">
        <v>82</v>
      </c>
      <c r="D293" s="46" t="s">
        <v>177</v>
      </c>
      <c r="E293" s="11">
        <f t="shared" si="52"/>
        <v>0</v>
      </c>
      <c r="F293" s="12"/>
      <c r="G293" s="12"/>
      <c r="H293" s="12"/>
      <c r="I293" s="12"/>
      <c r="J293" s="11">
        <f t="shared" si="55"/>
        <v>0</v>
      </c>
      <c r="K293" s="12"/>
      <c r="L293" s="12"/>
      <c r="M293" s="12"/>
      <c r="N293" s="12"/>
      <c r="O293" s="12">
        <f t="shared" si="53"/>
        <v>0</v>
      </c>
      <c r="P293" s="13">
        <f t="shared" si="54"/>
        <v>0</v>
      </c>
    </row>
    <row r="294" spans="1:16" hidden="1" x14ac:dyDescent="0.2">
      <c r="A294" s="41" t="s">
        <v>327</v>
      </c>
      <c r="B294" s="85">
        <v>6070</v>
      </c>
      <c r="C294" s="4"/>
      <c r="D294" s="23" t="s">
        <v>325</v>
      </c>
      <c r="E294" s="11">
        <f>F294+I294</f>
        <v>0</v>
      </c>
      <c r="F294" s="12"/>
      <c r="G294" s="12"/>
      <c r="H294" s="12"/>
      <c r="I294" s="12">
        <f>I295</f>
        <v>0</v>
      </c>
      <c r="J294" s="11">
        <f t="shared" si="55"/>
        <v>0</v>
      </c>
      <c r="K294" s="12"/>
      <c r="L294" s="12"/>
      <c r="M294" s="12"/>
      <c r="N294" s="12">
        <f>N295</f>
        <v>0</v>
      </c>
      <c r="O294" s="12">
        <f t="shared" si="53"/>
        <v>0</v>
      </c>
      <c r="P294" s="13">
        <f t="shared" si="54"/>
        <v>0</v>
      </c>
    </row>
    <row r="295" spans="1:16" s="1" customFormat="1" ht="114.75" hidden="1" x14ac:dyDescent="0.2">
      <c r="A295" s="36" t="s">
        <v>328</v>
      </c>
      <c r="B295" s="86">
        <v>6072</v>
      </c>
      <c r="C295" s="3" t="s">
        <v>174</v>
      </c>
      <c r="D295" s="69" t="s">
        <v>326</v>
      </c>
      <c r="E295" s="10">
        <f>F295+I295</f>
        <v>0</v>
      </c>
      <c r="F295" s="17"/>
      <c r="G295" s="17"/>
      <c r="H295" s="17"/>
      <c r="I295" s="17"/>
      <c r="J295" s="11">
        <f t="shared" si="55"/>
        <v>0</v>
      </c>
      <c r="K295" s="17"/>
      <c r="L295" s="17"/>
      <c r="M295" s="17"/>
      <c r="N295" s="17"/>
      <c r="O295" s="12">
        <f t="shared" si="53"/>
        <v>0</v>
      </c>
      <c r="P295" s="16"/>
    </row>
    <row r="296" spans="1:16" hidden="1" x14ac:dyDescent="0.2">
      <c r="A296" s="41" t="s">
        <v>587</v>
      </c>
      <c r="B296" s="81" t="s">
        <v>372</v>
      </c>
      <c r="C296" s="4" t="s">
        <v>373</v>
      </c>
      <c r="D296" s="14" t="s">
        <v>371</v>
      </c>
      <c r="E296" s="11"/>
      <c r="F296" s="12"/>
      <c r="G296" s="12"/>
      <c r="H296" s="12"/>
      <c r="I296" s="12"/>
      <c r="J296" s="11">
        <f t="shared" si="55"/>
        <v>0</v>
      </c>
      <c r="K296" s="12"/>
      <c r="L296" s="12"/>
      <c r="M296" s="12"/>
      <c r="N296" s="12"/>
      <c r="O296" s="12">
        <f>K296</f>
        <v>0</v>
      </c>
      <c r="P296" s="13">
        <f t="shared" ref="P296:P315" si="56">E296+J296</f>
        <v>0</v>
      </c>
    </row>
    <row r="297" spans="1:16" hidden="1" x14ac:dyDescent="0.2">
      <c r="A297" s="41" t="s">
        <v>331</v>
      </c>
      <c r="B297" s="8" t="s">
        <v>330</v>
      </c>
      <c r="C297" s="4"/>
      <c r="D297" s="21" t="s">
        <v>329</v>
      </c>
      <c r="E297" s="11">
        <f t="shared" si="52"/>
        <v>0</v>
      </c>
      <c r="F297" s="12"/>
      <c r="G297" s="12"/>
      <c r="H297" s="12"/>
      <c r="I297" s="12">
        <f>I298+I299+I301</f>
        <v>0</v>
      </c>
      <c r="J297" s="11">
        <f t="shared" si="55"/>
        <v>0</v>
      </c>
      <c r="K297" s="12"/>
      <c r="L297" s="12"/>
      <c r="M297" s="12"/>
      <c r="N297" s="12">
        <f>N298+N299+N301</f>
        <v>0</v>
      </c>
      <c r="O297" s="12">
        <f t="shared" si="53"/>
        <v>0</v>
      </c>
      <c r="P297" s="13">
        <f t="shared" si="56"/>
        <v>0</v>
      </c>
    </row>
    <row r="298" spans="1:16" ht="25.5" hidden="1" x14ac:dyDescent="0.2">
      <c r="A298" s="41" t="s">
        <v>334</v>
      </c>
      <c r="B298" s="88" t="s">
        <v>333</v>
      </c>
      <c r="C298" s="4" t="s">
        <v>83</v>
      </c>
      <c r="D298" s="21" t="s">
        <v>332</v>
      </c>
      <c r="E298" s="11">
        <f t="shared" si="52"/>
        <v>0</v>
      </c>
      <c r="F298" s="12"/>
      <c r="G298" s="12"/>
      <c r="H298" s="12"/>
      <c r="I298" s="12"/>
      <c r="J298" s="11">
        <f t="shared" si="55"/>
        <v>0</v>
      </c>
      <c r="K298" s="12"/>
      <c r="L298" s="12"/>
      <c r="M298" s="12"/>
      <c r="N298" s="12"/>
      <c r="O298" s="12">
        <f t="shared" si="53"/>
        <v>0</v>
      </c>
      <c r="P298" s="13">
        <f t="shared" si="56"/>
        <v>0</v>
      </c>
    </row>
    <row r="299" spans="1:16" s="1" customFormat="1" ht="25.5" hidden="1" x14ac:dyDescent="0.2">
      <c r="A299" s="36" t="s">
        <v>337</v>
      </c>
      <c r="B299" s="89" t="s">
        <v>336</v>
      </c>
      <c r="C299" s="22" t="s">
        <v>83</v>
      </c>
      <c r="D299" s="24" t="s">
        <v>335</v>
      </c>
      <c r="E299" s="10">
        <f t="shared" si="52"/>
        <v>0</v>
      </c>
      <c r="F299" s="17"/>
      <c r="G299" s="17"/>
      <c r="H299" s="17"/>
      <c r="I299" s="17"/>
      <c r="J299" s="11">
        <f t="shared" si="55"/>
        <v>0</v>
      </c>
      <c r="K299" s="17"/>
      <c r="L299" s="17"/>
      <c r="M299" s="17"/>
      <c r="N299" s="17"/>
      <c r="O299" s="12">
        <f t="shared" si="53"/>
        <v>0</v>
      </c>
      <c r="P299" s="13">
        <f t="shared" si="56"/>
        <v>0</v>
      </c>
    </row>
    <row r="300" spans="1:16" s="1" customFormat="1" hidden="1" x14ac:dyDescent="0.2">
      <c r="A300" s="36"/>
      <c r="B300" s="89"/>
      <c r="C300" s="22"/>
      <c r="D300" s="15" t="s">
        <v>485</v>
      </c>
      <c r="E300" s="10">
        <f t="shared" si="52"/>
        <v>0</v>
      </c>
      <c r="F300" s="17"/>
      <c r="G300" s="17"/>
      <c r="H300" s="17"/>
      <c r="I300" s="17"/>
      <c r="J300" s="11"/>
      <c r="K300" s="17"/>
      <c r="L300" s="17"/>
      <c r="M300" s="17"/>
      <c r="N300" s="17"/>
      <c r="O300" s="12"/>
      <c r="P300" s="13">
        <f t="shared" si="56"/>
        <v>0</v>
      </c>
    </row>
    <row r="301" spans="1:16" s="1" customFormat="1" ht="25.5" hidden="1" customHeight="1" x14ac:dyDescent="0.2">
      <c r="A301" s="36" t="s">
        <v>340</v>
      </c>
      <c r="B301" s="89" t="s">
        <v>339</v>
      </c>
      <c r="C301" s="22" t="s">
        <v>83</v>
      </c>
      <c r="D301" s="24" t="s">
        <v>338</v>
      </c>
      <c r="E301" s="10">
        <f t="shared" si="52"/>
        <v>0</v>
      </c>
      <c r="F301" s="17"/>
      <c r="G301" s="17"/>
      <c r="H301" s="17"/>
      <c r="I301" s="17"/>
      <c r="J301" s="11">
        <f t="shared" si="55"/>
        <v>0</v>
      </c>
      <c r="K301" s="17"/>
      <c r="L301" s="17"/>
      <c r="M301" s="17"/>
      <c r="N301" s="17"/>
      <c r="O301" s="12">
        <f t="shared" si="53"/>
        <v>0</v>
      </c>
      <c r="P301" s="16">
        <f t="shared" si="56"/>
        <v>0</v>
      </c>
    </row>
    <row r="302" spans="1:16" hidden="1" x14ac:dyDescent="0.2">
      <c r="A302" s="41" t="s">
        <v>342</v>
      </c>
      <c r="B302" s="8" t="s">
        <v>189</v>
      </c>
      <c r="C302" s="4" t="s">
        <v>135</v>
      </c>
      <c r="D302" s="21" t="s">
        <v>341</v>
      </c>
      <c r="E302" s="11"/>
      <c r="F302" s="12"/>
      <c r="G302" s="12"/>
      <c r="H302" s="12"/>
      <c r="I302" s="12"/>
      <c r="J302" s="11">
        <f>L302+O302</f>
        <v>0</v>
      </c>
      <c r="K302" s="12"/>
      <c r="L302" s="12"/>
      <c r="M302" s="12"/>
      <c r="N302" s="12"/>
      <c r="O302" s="12">
        <f t="shared" si="53"/>
        <v>0</v>
      </c>
      <c r="P302" s="13">
        <f t="shared" si="56"/>
        <v>0</v>
      </c>
    </row>
    <row r="303" spans="1:16" hidden="1" x14ac:dyDescent="0.2">
      <c r="A303" s="41" t="s">
        <v>345</v>
      </c>
      <c r="B303" s="8" t="s">
        <v>344</v>
      </c>
      <c r="C303" s="4" t="s">
        <v>174</v>
      </c>
      <c r="D303" s="5" t="s">
        <v>343</v>
      </c>
      <c r="E303" s="11"/>
      <c r="F303" s="30"/>
      <c r="G303" s="30"/>
      <c r="H303" s="30"/>
      <c r="I303" s="30"/>
      <c r="J303" s="11">
        <f>L303+O303</f>
        <v>0</v>
      </c>
      <c r="K303" s="30"/>
      <c r="L303" s="30"/>
      <c r="M303" s="30"/>
      <c r="N303" s="30"/>
      <c r="O303" s="12">
        <f t="shared" si="53"/>
        <v>0</v>
      </c>
      <c r="P303" s="13">
        <f t="shared" si="56"/>
        <v>0</v>
      </c>
    </row>
    <row r="304" spans="1:16" hidden="1" x14ac:dyDescent="0.2">
      <c r="A304" s="41" t="s">
        <v>564</v>
      </c>
      <c r="B304" s="4" t="s">
        <v>198</v>
      </c>
      <c r="C304" s="3" t="s">
        <v>135</v>
      </c>
      <c r="D304" s="73" t="s">
        <v>199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hidden="1" x14ac:dyDescent="0.2">
      <c r="A305" s="41" t="s">
        <v>570</v>
      </c>
      <c r="B305" s="4" t="s">
        <v>192</v>
      </c>
      <c r="C305" s="4" t="s">
        <v>138</v>
      </c>
      <c r="D305" s="82" t="s">
        <v>399</v>
      </c>
      <c r="E305" s="11">
        <f>F305+I305</f>
        <v>0</v>
      </c>
      <c r="F305" s="11"/>
      <c r="G305" s="11"/>
      <c r="H305" s="11"/>
      <c r="I305" s="11"/>
      <c r="J305" s="11">
        <f>L305+O305</f>
        <v>0</v>
      </c>
      <c r="K305" s="11"/>
      <c r="L305" s="11"/>
      <c r="M305" s="11"/>
      <c r="N305" s="11"/>
      <c r="O305" s="12"/>
      <c r="P305" s="13">
        <f t="shared" si="56"/>
        <v>0</v>
      </c>
    </row>
    <row r="306" spans="1:18" ht="25.5" x14ac:dyDescent="0.2">
      <c r="A306" s="62">
        <v>1500000</v>
      </c>
      <c r="B306" s="6"/>
      <c r="C306" s="7"/>
      <c r="D306" s="31" t="s">
        <v>664</v>
      </c>
      <c r="E306" s="25">
        <f>E315</f>
        <v>145179941</v>
      </c>
      <c r="F306" s="25">
        <f t="shared" ref="F306:O306" si="57">F315</f>
        <v>145179941</v>
      </c>
      <c r="G306" s="25">
        <f t="shared" si="57"/>
        <v>7282700</v>
      </c>
      <c r="H306" s="25">
        <f t="shared" si="57"/>
        <v>9571790</v>
      </c>
      <c r="I306" s="25">
        <f t="shared" si="57"/>
        <v>0</v>
      </c>
      <c r="J306" s="25">
        <f t="shared" si="57"/>
        <v>319098057</v>
      </c>
      <c r="K306" s="25">
        <f>K315</f>
        <v>287662057</v>
      </c>
      <c r="L306" s="25">
        <f t="shared" si="57"/>
        <v>0</v>
      </c>
      <c r="M306" s="25">
        <f t="shared" si="57"/>
        <v>0</v>
      </c>
      <c r="N306" s="25">
        <f t="shared" si="57"/>
        <v>0</v>
      </c>
      <c r="O306" s="25">
        <f t="shared" si="57"/>
        <v>319098057</v>
      </c>
      <c r="P306" s="13">
        <f t="shared" si="56"/>
        <v>464277998</v>
      </c>
      <c r="R306" s="34"/>
    </row>
    <row r="307" spans="1:18" s="1" customFormat="1" hidden="1" x14ac:dyDescent="0.2">
      <c r="A307" s="36"/>
      <c r="B307" s="18"/>
      <c r="C307" s="3"/>
      <c r="D307" s="15" t="s">
        <v>485</v>
      </c>
      <c r="E307" s="17"/>
      <c r="F307" s="17"/>
      <c r="G307" s="17"/>
      <c r="H307" s="17"/>
      <c r="I307" s="17"/>
      <c r="J307" s="17">
        <f>L307+O307</f>
        <v>0</v>
      </c>
      <c r="K307" s="17">
        <f>K324+K341</f>
        <v>0</v>
      </c>
      <c r="L307" s="17"/>
      <c r="M307" s="17"/>
      <c r="N307" s="17"/>
      <c r="O307" s="17">
        <f>K307</f>
        <v>0</v>
      </c>
      <c r="P307" s="16">
        <f t="shared" si="56"/>
        <v>0</v>
      </c>
    </row>
    <row r="308" spans="1:18" s="1" customFormat="1" ht="51" hidden="1" x14ac:dyDescent="0.2">
      <c r="A308" s="36"/>
      <c r="B308" s="18"/>
      <c r="C308" s="3"/>
      <c r="D308" s="19" t="s">
        <v>573</v>
      </c>
      <c r="E308" s="17"/>
      <c r="F308" s="17"/>
      <c r="G308" s="17"/>
      <c r="H308" s="17"/>
      <c r="I308" s="17"/>
      <c r="J308" s="17">
        <f t="shared" ref="J308:O308" si="58">J340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69" t="s">
        <v>576</v>
      </c>
      <c r="E309" s="17"/>
      <c r="F309" s="17"/>
      <c r="G309" s="17"/>
      <c r="H309" s="17"/>
      <c r="I309" s="17"/>
      <c r="J309" s="17">
        <f t="shared" ref="J309:O309" si="59">J351</f>
        <v>80000000</v>
      </c>
      <c r="K309" s="17">
        <f t="shared" si="59"/>
        <v>80000000</v>
      </c>
      <c r="L309" s="17">
        <f t="shared" si="59"/>
        <v>0</v>
      </c>
      <c r="M309" s="17">
        <f t="shared" si="59"/>
        <v>0</v>
      </c>
      <c r="N309" s="17">
        <f t="shared" si="59"/>
        <v>0</v>
      </c>
      <c r="O309" s="17">
        <f t="shared" si="59"/>
        <v>80000000</v>
      </c>
      <c r="P309" s="16">
        <f t="shared" si="56"/>
        <v>80000000</v>
      </c>
    </row>
    <row r="310" spans="1:18" s="1" customFormat="1" ht="25.5" x14ac:dyDescent="0.2">
      <c r="A310" s="36"/>
      <c r="B310" s="18"/>
      <c r="C310" s="3"/>
      <c r="D310" s="19" t="s">
        <v>520</v>
      </c>
      <c r="E310" s="17"/>
      <c r="F310" s="17"/>
      <c r="G310" s="17"/>
      <c r="H310" s="17"/>
      <c r="I310" s="17"/>
      <c r="J310" s="17">
        <f>J356</f>
        <v>10000000</v>
      </c>
      <c r="K310" s="17">
        <f t="shared" ref="K310:P310" si="60">K356</f>
        <v>10000000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10000000</v>
      </c>
      <c r="P310" s="32">
        <f t="shared" si="60"/>
        <v>10000000</v>
      </c>
    </row>
    <row r="311" spans="1:18" s="1" customFormat="1" ht="25.5" x14ac:dyDescent="0.2">
      <c r="A311" s="36"/>
      <c r="B311" s="18"/>
      <c r="C311" s="3"/>
      <c r="D311" s="35" t="s">
        <v>512</v>
      </c>
      <c r="E311" s="17"/>
      <c r="F311" s="17"/>
      <c r="G311" s="17"/>
      <c r="H311" s="17"/>
      <c r="I311" s="17"/>
      <c r="J311" s="17">
        <f t="shared" ref="J311:O311" si="61">J358</f>
        <v>44885444</v>
      </c>
      <c r="K311" s="17">
        <f t="shared" si="61"/>
        <v>44885444</v>
      </c>
      <c r="L311" s="17">
        <f t="shared" si="61"/>
        <v>0</v>
      </c>
      <c r="M311" s="17">
        <f t="shared" si="61"/>
        <v>0</v>
      </c>
      <c r="N311" s="17">
        <f t="shared" si="61"/>
        <v>0</v>
      </c>
      <c r="O311" s="17">
        <f t="shared" si="61"/>
        <v>44885444</v>
      </c>
      <c r="P311" s="16">
        <f t="shared" si="56"/>
        <v>44885444</v>
      </c>
    </row>
    <row r="312" spans="1:18" s="1" customFormat="1" ht="38.25" hidden="1" x14ac:dyDescent="0.2">
      <c r="A312" s="36"/>
      <c r="B312" s="18"/>
      <c r="C312" s="3"/>
      <c r="D312" s="24" t="s">
        <v>595</v>
      </c>
      <c r="E312" s="17"/>
      <c r="F312" s="17"/>
      <c r="G312" s="17"/>
      <c r="H312" s="17"/>
      <c r="I312" s="17"/>
      <c r="J312" s="17">
        <f>L312+O312</f>
        <v>0</v>
      </c>
      <c r="K312" s="17">
        <f>O312</f>
        <v>0</v>
      </c>
      <c r="L312" s="17"/>
      <c r="M312" s="17"/>
      <c r="N312" s="17"/>
      <c r="O312" s="17">
        <f>O322</f>
        <v>0</v>
      </c>
      <c r="P312" s="16">
        <f t="shared" si="56"/>
        <v>0</v>
      </c>
    </row>
    <row r="313" spans="1:18" s="1" customFormat="1" ht="25.5" x14ac:dyDescent="0.2">
      <c r="A313" s="36"/>
      <c r="B313" s="18"/>
      <c r="C313" s="3"/>
      <c r="D313" s="69" t="s">
        <v>9</v>
      </c>
      <c r="E313" s="17"/>
      <c r="F313" s="17"/>
      <c r="G313" s="17"/>
      <c r="H313" s="17"/>
      <c r="I313" s="17"/>
      <c r="J313" s="17">
        <f t="shared" ref="J313:O313" si="62">J351</f>
        <v>80000000</v>
      </c>
      <c r="K313" s="17">
        <f t="shared" si="62"/>
        <v>80000000</v>
      </c>
      <c r="L313" s="17">
        <f t="shared" si="62"/>
        <v>0</v>
      </c>
      <c r="M313" s="17">
        <f t="shared" si="62"/>
        <v>0</v>
      </c>
      <c r="N313" s="17">
        <f t="shared" si="62"/>
        <v>0</v>
      </c>
      <c r="O313" s="17">
        <f t="shared" si="62"/>
        <v>80000000</v>
      </c>
      <c r="P313" s="16">
        <f t="shared" si="56"/>
        <v>80000000</v>
      </c>
    </row>
    <row r="314" spans="1:18" ht="15" customHeight="1" x14ac:dyDescent="0.2">
      <c r="A314" s="62"/>
      <c r="B314" s="6"/>
      <c r="C314" s="7"/>
      <c r="D314" s="24" t="s">
        <v>486</v>
      </c>
      <c r="E314" s="25">
        <f>F314+I314</f>
        <v>0</v>
      </c>
      <c r="F314" s="25"/>
      <c r="G314" s="25"/>
      <c r="H314" s="25"/>
      <c r="I314" s="25"/>
      <c r="J314" s="17">
        <f>L314+O314</f>
        <v>31436000</v>
      </c>
      <c r="K314" s="33">
        <f>SUM(K371)</f>
        <v>0</v>
      </c>
      <c r="L314" s="17"/>
      <c r="M314" s="17"/>
      <c r="N314" s="17"/>
      <c r="O314" s="33">
        <f>O371</f>
        <v>31436000</v>
      </c>
      <c r="P314" s="13">
        <f t="shared" si="56"/>
        <v>31436000</v>
      </c>
    </row>
    <row r="315" spans="1:18" ht="25.5" x14ac:dyDescent="0.2">
      <c r="A315" s="41" t="s">
        <v>346</v>
      </c>
      <c r="B315" s="8"/>
      <c r="C315" s="7"/>
      <c r="D315" s="15" t="s">
        <v>664</v>
      </c>
      <c r="E315" s="29">
        <f>E316+E335+E361+E372+E336+E331</f>
        <v>145179941</v>
      </c>
      <c r="F315" s="29">
        <f>F316+F335+F361+F372+F336+F331</f>
        <v>145179941</v>
      </c>
      <c r="G315" s="29">
        <f>G316+G335+G361+G372</f>
        <v>7282700</v>
      </c>
      <c r="H315" s="29">
        <f>H316+H335+H361+H372</f>
        <v>9571790</v>
      </c>
      <c r="I315" s="29">
        <f>I316+I335+I361</f>
        <v>0</v>
      </c>
      <c r="J315" s="29">
        <f t="shared" ref="J315:O315" si="63">J316+J318+J323+J327+J330+J333+J335+J337+J338+J343+J344+J352+J354+J357+J361+J368+J369+J370+J332+J325+J321+J355</f>
        <v>319098057</v>
      </c>
      <c r="K315" s="29">
        <f t="shared" si="63"/>
        <v>287662057</v>
      </c>
      <c r="L315" s="29">
        <f t="shared" si="63"/>
        <v>0</v>
      </c>
      <c r="M315" s="29">
        <f t="shared" si="63"/>
        <v>0</v>
      </c>
      <c r="N315" s="29">
        <f t="shared" si="63"/>
        <v>0</v>
      </c>
      <c r="O315" s="29">
        <f t="shared" si="63"/>
        <v>319098057</v>
      </c>
      <c r="P315" s="13">
        <f t="shared" si="56"/>
        <v>464277998</v>
      </c>
      <c r="Q315" s="109"/>
    </row>
    <row r="316" spans="1:18" ht="25.5" x14ac:dyDescent="0.2">
      <c r="A316" s="41" t="s">
        <v>347</v>
      </c>
      <c r="B316" s="4" t="s">
        <v>201</v>
      </c>
      <c r="C316" s="4" t="s">
        <v>129</v>
      </c>
      <c r="D316" s="14" t="s">
        <v>613</v>
      </c>
      <c r="E316" s="11">
        <f t="shared" ref="E316:E366" si="64">F316+I316</f>
        <v>11151990</v>
      </c>
      <c r="F316" s="12">
        <f>11207200-55210</f>
        <v>11151990</v>
      </c>
      <c r="G316" s="12">
        <f>3002700+1700000+2580000</f>
        <v>7282700</v>
      </c>
      <c r="H316" s="12">
        <f>127000-55210</f>
        <v>71790</v>
      </c>
      <c r="I316" s="12"/>
      <c r="J316" s="11">
        <f t="shared" ref="J316:J360" si="65">L316+O316</f>
        <v>895000</v>
      </c>
      <c r="K316" s="12">
        <f>680000+65000+150000</f>
        <v>895000</v>
      </c>
      <c r="L316" s="12"/>
      <c r="M316" s="12"/>
      <c r="N316" s="12"/>
      <c r="O316" s="12">
        <f t="shared" ref="O316:O344" si="66">K316</f>
        <v>895000</v>
      </c>
      <c r="P316" s="13">
        <f t="shared" ref="P316:P373" si="67">E316+J316</f>
        <v>12046990</v>
      </c>
    </row>
    <row r="317" spans="1:18" ht="16.5" hidden="1" customHeight="1" x14ac:dyDescent="0.2">
      <c r="A317" s="41" t="s">
        <v>348</v>
      </c>
      <c r="B317" s="20" t="s">
        <v>72</v>
      </c>
      <c r="C317" s="20" t="s">
        <v>145</v>
      </c>
      <c r="D317" s="5" t="s">
        <v>203</v>
      </c>
      <c r="E317" s="11">
        <f t="shared" si="64"/>
        <v>0</v>
      </c>
      <c r="F317" s="12"/>
      <c r="G317" s="12"/>
      <c r="H317" s="12"/>
      <c r="I317" s="12"/>
      <c r="J317" s="11">
        <f t="shared" si="65"/>
        <v>0</v>
      </c>
      <c r="K317" s="12">
        <f>250000-250000</f>
        <v>0</v>
      </c>
      <c r="L317" s="12"/>
      <c r="M317" s="12"/>
      <c r="N317" s="12"/>
      <c r="O317" s="12">
        <f t="shared" si="66"/>
        <v>0</v>
      </c>
      <c r="P317" s="13">
        <f t="shared" si="67"/>
        <v>0</v>
      </c>
    </row>
    <row r="318" spans="1:18" x14ac:dyDescent="0.2">
      <c r="A318" s="41" t="s">
        <v>642</v>
      </c>
      <c r="B318" s="98" t="s">
        <v>619</v>
      </c>
      <c r="C318" s="20" t="s">
        <v>146</v>
      </c>
      <c r="D318" s="21" t="s">
        <v>628</v>
      </c>
      <c r="E318" s="11">
        <f t="shared" si="64"/>
        <v>0</v>
      </c>
      <c r="F318" s="12"/>
      <c r="G318" s="12"/>
      <c r="H318" s="12"/>
      <c r="I318" s="12"/>
      <c r="J318" s="11">
        <f t="shared" si="65"/>
        <v>466126</v>
      </c>
      <c r="K318" s="12">
        <f>409800+10442+65000-19116</f>
        <v>466126</v>
      </c>
      <c r="L318" s="12"/>
      <c r="M318" s="12"/>
      <c r="N318" s="12"/>
      <c r="O318" s="12">
        <f t="shared" si="66"/>
        <v>466126</v>
      </c>
      <c r="P318" s="13">
        <f t="shared" si="67"/>
        <v>466126</v>
      </c>
    </row>
    <row r="319" spans="1:18" ht="38.25" hidden="1" x14ac:dyDescent="0.2">
      <c r="A319" s="41"/>
      <c r="B319" s="20"/>
      <c r="C319" s="20"/>
      <c r="D319" s="19" t="s">
        <v>574</v>
      </c>
      <c r="E319" s="11"/>
      <c r="F319" s="12"/>
      <c r="G319" s="12"/>
      <c r="H319" s="12"/>
      <c r="I319" s="12"/>
      <c r="J319" s="11">
        <f t="shared" si="65"/>
        <v>0</v>
      </c>
      <c r="K319" s="12"/>
      <c r="L319" s="12"/>
      <c r="M319" s="12"/>
      <c r="N319" s="12"/>
      <c r="O319" s="12">
        <f>K319</f>
        <v>0</v>
      </c>
      <c r="P319" s="13">
        <f>E319+J319</f>
        <v>0</v>
      </c>
    </row>
    <row r="320" spans="1:18" ht="25.5" hidden="1" x14ac:dyDescent="0.2">
      <c r="A320" s="41" t="s">
        <v>536</v>
      </c>
      <c r="B320" s="20" t="s">
        <v>130</v>
      </c>
      <c r="C320" s="20" t="s">
        <v>147</v>
      </c>
      <c r="D320" s="21" t="s">
        <v>584</v>
      </c>
      <c r="E320" s="11">
        <f t="shared" si="64"/>
        <v>0</v>
      </c>
      <c r="F320" s="12"/>
      <c r="G320" s="12"/>
      <c r="H320" s="12"/>
      <c r="I320" s="12"/>
      <c r="J320" s="11">
        <f t="shared" si="65"/>
        <v>0</v>
      </c>
      <c r="K320" s="12"/>
      <c r="L320" s="12"/>
      <c r="M320" s="12"/>
      <c r="N320" s="12"/>
      <c r="O320" s="12">
        <f t="shared" si="66"/>
        <v>0</v>
      </c>
      <c r="P320" s="13">
        <f t="shared" si="67"/>
        <v>0</v>
      </c>
    </row>
    <row r="321" spans="1:16" ht="38.25" x14ac:dyDescent="0.2">
      <c r="A321" s="41" t="s">
        <v>680</v>
      </c>
      <c r="B321" s="20" t="s">
        <v>681</v>
      </c>
      <c r="C321" s="20" t="s">
        <v>148</v>
      </c>
      <c r="D321" s="5" t="s">
        <v>0</v>
      </c>
      <c r="E321" s="11">
        <f t="shared" si="64"/>
        <v>0</v>
      </c>
      <c r="F321" s="12"/>
      <c r="G321" s="12"/>
      <c r="H321" s="12"/>
      <c r="I321" s="12"/>
      <c r="J321" s="11">
        <f t="shared" si="65"/>
        <v>4286460</v>
      </c>
      <c r="K321" s="12">
        <f>3598681+687779</f>
        <v>4286460</v>
      </c>
      <c r="L321" s="12"/>
      <c r="M321" s="12"/>
      <c r="N321" s="12"/>
      <c r="O321" s="12">
        <f t="shared" si="66"/>
        <v>4286460</v>
      </c>
      <c r="P321" s="13">
        <f t="shared" si="67"/>
        <v>4286460</v>
      </c>
    </row>
    <row r="322" spans="1:16" s="1" customFormat="1" hidden="1" x14ac:dyDescent="0.2">
      <c r="A322" s="36"/>
      <c r="B322" s="22"/>
      <c r="C322" s="22"/>
      <c r="D322" s="24"/>
      <c r="E322" s="10"/>
      <c r="F322" s="17"/>
      <c r="G322" s="17"/>
      <c r="H322" s="17"/>
      <c r="I322" s="17"/>
      <c r="J322" s="10">
        <f>L322+O322</f>
        <v>0</v>
      </c>
      <c r="K322" s="17"/>
      <c r="L322" s="17"/>
      <c r="M322" s="17"/>
      <c r="N322" s="17"/>
      <c r="O322" s="17"/>
      <c r="P322" s="13">
        <f t="shared" si="67"/>
        <v>0</v>
      </c>
    </row>
    <row r="323" spans="1:16" x14ac:dyDescent="0.2">
      <c r="A323" s="41" t="s">
        <v>367</v>
      </c>
      <c r="B323" s="4" t="s">
        <v>46</v>
      </c>
      <c r="C323" s="4" t="s">
        <v>16</v>
      </c>
      <c r="D323" s="5" t="s">
        <v>103</v>
      </c>
      <c r="E323" s="11">
        <f>F323+I323</f>
        <v>0</v>
      </c>
      <c r="F323" s="12"/>
      <c r="G323" s="12"/>
      <c r="H323" s="12"/>
      <c r="I323" s="12"/>
      <c r="J323" s="11">
        <f t="shared" si="65"/>
        <v>869948</v>
      </c>
      <c r="K323" s="12">
        <f>619948+250000</f>
        <v>869948</v>
      </c>
      <c r="L323" s="12"/>
      <c r="M323" s="12"/>
      <c r="N323" s="12"/>
      <c r="O323" s="12">
        <f t="shared" si="66"/>
        <v>869948</v>
      </c>
      <c r="P323" s="13">
        <f t="shared" si="67"/>
        <v>869948</v>
      </c>
    </row>
    <row r="324" spans="1:16" s="1" customFormat="1" hidden="1" x14ac:dyDescent="0.2">
      <c r="A324" s="36"/>
      <c r="B324" s="3"/>
      <c r="C324" s="3"/>
      <c r="D324" s="24" t="s">
        <v>485</v>
      </c>
      <c r="E324" s="10"/>
      <c r="F324" s="17"/>
      <c r="G324" s="17"/>
      <c r="H324" s="17"/>
      <c r="I324" s="17"/>
      <c r="J324" s="10">
        <f t="shared" si="65"/>
        <v>0</v>
      </c>
      <c r="K324" s="17"/>
      <c r="L324" s="17"/>
      <c r="M324" s="17"/>
      <c r="N324" s="17"/>
      <c r="O324" s="17">
        <f t="shared" si="66"/>
        <v>0</v>
      </c>
      <c r="P324" s="13">
        <f t="shared" si="67"/>
        <v>0</v>
      </c>
    </row>
    <row r="325" spans="1:16" x14ac:dyDescent="0.2">
      <c r="A325" s="41" t="s">
        <v>513</v>
      </c>
      <c r="B325" s="4" t="s">
        <v>211</v>
      </c>
      <c r="C325" s="4" t="s">
        <v>17</v>
      </c>
      <c r="D325" s="5" t="s">
        <v>105</v>
      </c>
      <c r="E325" s="11">
        <f t="shared" si="64"/>
        <v>0</v>
      </c>
      <c r="F325" s="12"/>
      <c r="G325" s="12"/>
      <c r="H325" s="12"/>
      <c r="I325" s="12"/>
      <c r="J325" s="11">
        <f t="shared" si="65"/>
        <v>890000</v>
      </c>
      <c r="K325" s="12">
        <f>290000+600000</f>
        <v>890000</v>
      </c>
      <c r="L325" s="12"/>
      <c r="M325" s="12"/>
      <c r="N325" s="12"/>
      <c r="O325" s="12">
        <f t="shared" si="66"/>
        <v>890000</v>
      </c>
      <c r="P325" s="13">
        <f t="shared" si="67"/>
        <v>890000</v>
      </c>
    </row>
    <row r="326" spans="1:16" hidden="1" x14ac:dyDescent="0.2">
      <c r="A326" s="41" t="s">
        <v>368</v>
      </c>
      <c r="B326" s="4" t="s">
        <v>219</v>
      </c>
      <c r="C326" s="4"/>
      <c r="D326" s="14" t="s">
        <v>431</v>
      </c>
      <c r="E326" s="11">
        <f t="shared" si="64"/>
        <v>0</v>
      </c>
      <c r="F326" s="12">
        <f>F327</f>
        <v>0</v>
      </c>
      <c r="G326" s="12">
        <f>G327</f>
        <v>0</v>
      </c>
      <c r="H326" s="12">
        <f>H327</f>
        <v>0</v>
      </c>
      <c r="I326" s="12">
        <f>I327</f>
        <v>0</v>
      </c>
      <c r="J326" s="11">
        <f t="shared" si="65"/>
        <v>0</v>
      </c>
      <c r="K326" s="12"/>
      <c r="L326" s="12">
        <f>L327</f>
        <v>0</v>
      </c>
      <c r="M326" s="12">
        <f>M327</f>
        <v>0</v>
      </c>
      <c r="N326" s="12">
        <f>N327</f>
        <v>0</v>
      </c>
      <c r="O326" s="12">
        <f t="shared" si="66"/>
        <v>0</v>
      </c>
      <c r="P326" s="13">
        <f t="shared" si="67"/>
        <v>0</v>
      </c>
    </row>
    <row r="327" spans="1:16" s="1" customFormat="1" ht="25.5" x14ac:dyDescent="0.2">
      <c r="A327" s="36" t="s">
        <v>369</v>
      </c>
      <c r="B327" s="3" t="s">
        <v>222</v>
      </c>
      <c r="C327" s="3" t="s">
        <v>457</v>
      </c>
      <c r="D327" s="15" t="s">
        <v>221</v>
      </c>
      <c r="E327" s="10">
        <f t="shared" si="64"/>
        <v>0</v>
      </c>
      <c r="F327" s="17"/>
      <c r="G327" s="17"/>
      <c r="H327" s="17"/>
      <c r="I327" s="17"/>
      <c r="J327" s="10">
        <f t="shared" si="65"/>
        <v>3000</v>
      </c>
      <c r="K327" s="17">
        <v>3000</v>
      </c>
      <c r="L327" s="17"/>
      <c r="M327" s="17"/>
      <c r="N327" s="17"/>
      <c r="O327" s="12">
        <f t="shared" si="66"/>
        <v>3000</v>
      </c>
      <c r="P327" s="16">
        <f t="shared" si="67"/>
        <v>3000</v>
      </c>
    </row>
    <row r="328" spans="1:16" ht="25.5" hidden="1" x14ac:dyDescent="0.2">
      <c r="A328" s="41" t="s">
        <v>533</v>
      </c>
      <c r="B328" s="4" t="s">
        <v>66</v>
      </c>
      <c r="C328" s="20" t="s">
        <v>79</v>
      </c>
      <c r="D328" s="21" t="s">
        <v>298</v>
      </c>
      <c r="E328" s="11">
        <f t="shared" si="64"/>
        <v>0</v>
      </c>
      <c r="F328" s="12"/>
      <c r="G328" s="12"/>
      <c r="H328" s="12"/>
      <c r="I328" s="12"/>
      <c r="J328" s="11">
        <f t="shared" si="65"/>
        <v>0</v>
      </c>
      <c r="K328" s="12"/>
      <c r="L328" s="12"/>
      <c r="M328" s="12"/>
      <c r="N328" s="12"/>
      <c r="O328" s="12">
        <f t="shared" si="66"/>
        <v>0</v>
      </c>
      <c r="P328" s="13">
        <f t="shared" si="67"/>
        <v>0</v>
      </c>
    </row>
    <row r="329" spans="1:16" ht="25.5" hidden="1" x14ac:dyDescent="0.2">
      <c r="A329" s="41" t="s">
        <v>563</v>
      </c>
      <c r="B329" s="4" t="s">
        <v>151</v>
      </c>
      <c r="C329" s="22" t="s">
        <v>15</v>
      </c>
      <c r="D329" s="5" t="s">
        <v>101</v>
      </c>
      <c r="E329" s="11"/>
      <c r="F329" s="12"/>
      <c r="G329" s="12"/>
      <c r="H329" s="12"/>
      <c r="I329" s="12"/>
      <c r="J329" s="11">
        <f>L329+O329</f>
        <v>0</v>
      </c>
      <c r="K329" s="12"/>
      <c r="L329" s="12"/>
      <c r="M329" s="12"/>
      <c r="N329" s="12"/>
      <c r="O329" s="12">
        <f>K329</f>
        <v>0</v>
      </c>
      <c r="P329" s="13">
        <f>E329+J329</f>
        <v>0</v>
      </c>
    </row>
    <row r="330" spans="1:16" ht="25.5" x14ac:dyDescent="0.2">
      <c r="A330" s="41" t="s">
        <v>590</v>
      </c>
      <c r="B330" s="4" t="s">
        <v>588</v>
      </c>
      <c r="C330" s="22" t="s">
        <v>15</v>
      </c>
      <c r="D330" s="5" t="s">
        <v>589</v>
      </c>
      <c r="E330" s="11"/>
      <c r="F330" s="12"/>
      <c r="G330" s="12"/>
      <c r="H330" s="12"/>
      <c r="I330" s="12"/>
      <c r="J330" s="11">
        <f>L330+O330</f>
        <v>5999357</v>
      </c>
      <c r="K330" s="12">
        <f>5989357+10000</f>
        <v>5999357</v>
      </c>
      <c r="L330" s="12"/>
      <c r="M330" s="12"/>
      <c r="N330" s="12"/>
      <c r="O330" s="12">
        <f>K330</f>
        <v>5999357</v>
      </c>
      <c r="P330" s="13">
        <f>E330+J330</f>
        <v>5999357</v>
      </c>
    </row>
    <row r="331" spans="1:16" x14ac:dyDescent="0.2">
      <c r="A331" s="41" t="s">
        <v>679</v>
      </c>
      <c r="B331" s="4" t="s">
        <v>466</v>
      </c>
      <c r="C331" s="22" t="s">
        <v>82</v>
      </c>
      <c r="D331" s="5" t="s">
        <v>467</v>
      </c>
      <c r="E331" s="11">
        <f>F331</f>
        <v>280000</v>
      </c>
      <c r="F331" s="12">
        <v>280000</v>
      </c>
      <c r="G331" s="12"/>
      <c r="H331" s="12"/>
      <c r="I331" s="12"/>
      <c r="J331" s="11"/>
      <c r="K331" s="12"/>
      <c r="L331" s="12"/>
      <c r="M331" s="12"/>
      <c r="N331" s="12"/>
      <c r="O331" s="12"/>
      <c r="P331" s="13">
        <f>E331+J331</f>
        <v>280000</v>
      </c>
    </row>
    <row r="332" spans="1:16" x14ac:dyDescent="0.2">
      <c r="A332" s="41" t="s">
        <v>676</v>
      </c>
      <c r="B332" s="4" t="s">
        <v>313</v>
      </c>
      <c r="C332" s="22" t="s">
        <v>82</v>
      </c>
      <c r="D332" s="5" t="s">
        <v>315</v>
      </c>
      <c r="E332" s="11"/>
      <c r="F332" s="12"/>
      <c r="G332" s="12"/>
      <c r="H332" s="12"/>
      <c r="I332" s="12"/>
      <c r="J332" s="11">
        <f>L332+O332</f>
        <v>200000</v>
      </c>
      <c r="K332" s="12">
        <v>200000</v>
      </c>
      <c r="L332" s="12"/>
      <c r="M332" s="12"/>
      <c r="N332" s="12"/>
      <c r="O332" s="12">
        <f>K332</f>
        <v>200000</v>
      </c>
      <c r="P332" s="13">
        <f>E332+J332</f>
        <v>200000</v>
      </c>
    </row>
    <row r="333" spans="1:16" ht="25.5" x14ac:dyDescent="0.2">
      <c r="A333" s="41" t="s">
        <v>668</v>
      </c>
      <c r="B333" s="4" t="s">
        <v>365</v>
      </c>
      <c r="C333" s="4" t="s">
        <v>82</v>
      </c>
      <c r="D333" s="21" t="s">
        <v>366</v>
      </c>
      <c r="E333" s="11">
        <f>F333+I333</f>
        <v>0</v>
      </c>
      <c r="F333" s="12"/>
      <c r="G333" s="12"/>
      <c r="H333" s="12"/>
      <c r="I333" s="12"/>
      <c r="J333" s="11">
        <f>L333+O333</f>
        <v>625000</v>
      </c>
      <c r="K333" s="12">
        <v>625000</v>
      </c>
      <c r="L333" s="12"/>
      <c r="M333" s="12"/>
      <c r="N333" s="12"/>
      <c r="O333" s="12">
        <f>K333</f>
        <v>625000</v>
      </c>
      <c r="P333" s="13">
        <f>E333+J333</f>
        <v>625000</v>
      </c>
    </row>
    <row r="334" spans="1:16" hidden="1" x14ac:dyDescent="0.2">
      <c r="A334" s="41"/>
      <c r="B334" s="4"/>
      <c r="C334" s="22"/>
      <c r="D334" s="5"/>
      <c r="E334" s="11"/>
      <c r="F334" s="12"/>
      <c r="G334" s="12"/>
      <c r="H334" s="12"/>
      <c r="I334" s="12"/>
      <c r="J334" s="11"/>
      <c r="K334" s="12"/>
      <c r="L334" s="12"/>
      <c r="M334" s="12"/>
      <c r="N334" s="12"/>
      <c r="O334" s="12"/>
      <c r="P334" s="13"/>
    </row>
    <row r="335" spans="1:16" x14ac:dyDescent="0.2">
      <c r="A335" s="41" t="s">
        <v>370</v>
      </c>
      <c r="B335" s="20" t="s">
        <v>317</v>
      </c>
      <c r="C335" s="20" t="s">
        <v>82</v>
      </c>
      <c r="D335" s="21" t="s">
        <v>316</v>
      </c>
      <c r="E335" s="11">
        <f t="shared" si="64"/>
        <v>73694974</v>
      </c>
      <c r="F335" s="30">
        <f>71209974-135000+20000+2600000</f>
        <v>73694974</v>
      </c>
      <c r="G335" s="30"/>
      <c r="H335" s="30">
        <v>9500000</v>
      </c>
      <c r="I335" s="30"/>
      <c r="J335" s="11">
        <f t="shared" si="65"/>
        <v>11450526</v>
      </c>
      <c r="K335" s="30">
        <f>8460225-18390+2658691-150000+500000</f>
        <v>11450526</v>
      </c>
      <c r="L335" s="30"/>
      <c r="M335" s="30"/>
      <c r="N335" s="30"/>
      <c r="O335" s="12">
        <f t="shared" si="66"/>
        <v>11450526</v>
      </c>
      <c r="P335" s="13">
        <f t="shared" si="67"/>
        <v>85145500</v>
      </c>
    </row>
    <row r="336" spans="1:16" x14ac:dyDescent="0.2">
      <c r="A336" s="41" t="s">
        <v>677</v>
      </c>
      <c r="B336" s="20" t="s">
        <v>321</v>
      </c>
      <c r="C336" s="20" t="s">
        <v>82</v>
      </c>
      <c r="D336" s="5" t="s">
        <v>678</v>
      </c>
      <c r="E336" s="11">
        <f t="shared" si="64"/>
        <v>445000</v>
      </c>
      <c r="F336" s="30">
        <f>300000+145000</f>
        <v>445000</v>
      </c>
      <c r="G336" s="30"/>
      <c r="H336" s="30"/>
      <c r="I336" s="30"/>
      <c r="J336" s="11">
        <f t="shared" si="65"/>
        <v>0</v>
      </c>
      <c r="K336" s="30"/>
      <c r="L336" s="30"/>
      <c r="M336" s="30"/>
      <c r="N336" s="30"/>
      <c r="O336" s="12">
        <f>K336</f>
        <v>0</v>
      </c>
      <c r="P336" s="13">
        <f>E336+J336</f>
        <v>445000</v>
      </c>
    </row>
    <row r="337" spans="1:16" x14ac:dyDescent="0.2">
      <c r="A337" s="41" t="s">
        <v>572</v>
      </c>
      <c r="B337" s="81" t="s">
        <v>344</v>
      </c>
      <c r="C337" s="81" t="s">
        <v>174</v>
      </c>
      <c r="D337" s="5" t="s">
        <v>343</v>
      </c>
      <c r="E337" s="11">
        <f>F337+I337</f>
        <v>0</v>
      </c>
      <c r="F337" s="12"/>
      <c r="G337" s="12"/>
      <c r="H337" s="12"/>
      <c r="I337" s="12"/>
      <c r="J337" s="11">
        <f>L337+O337</f>
        <v>500000</v>
      </c>
      <c r="K337" s="12">
        <f>500000</f>
        <v>500000</v>
      </c>
      <c r="L337" s="12"/>
      <c r="M337" s="12"/>
      <c r="N337" s="12"/>
      <c r="O337" s="12">
        <f>K337</f>
        <v>500000</v>
      </c>
      <c r="P337" s="13">
        <f>E337+J337</f>
        <v>500000</v>
      </c>
    </row>
    <row r="338" spans="1:16" x14ac:dyDescent="0.2">
      <c r="A338" s="41" t="s">
        <v>374</v>
      </c>
      <c r="B338" s="4" t="s">
        <v>372</v>
      </c>
      <c r="C338" s="4" t="s">
        <v>373</v>
      </c>
      <c r="D338" s="14" t="s">
        <v>371</v>
      </c>
      <c r="E338" s="11">
        <f t="shared" si="64"/>
        <v>0</v>
      </c>
      <c r="F338" s="12"/>
      <c r="G338" s="12"/>
      <c r="H338" s="12"/>
      <c r="I338" s="12"/>
      <c r="J338" s="11">
        <f t="shared" si="65"/>
        <v>28052462</v>
      </c>
      <c r="K338" s="12">
        <f>20699462-10000+7363000</f>
        <v>28052462</v>
      </c>
      <c r="L338" s="12"/>
      <c r="M338" s="12"/>
      <c r="N338" s="12"/>
      <c r="O338" s="12">
        <f t="shared" si="66"/>
        <v>28052462</v>
      </c>
      <c r="P338" s="13">
        <f t="shared" si="67"/>
        <v>28052462</v>
      </c>
    </row>
    <row r="339" spans="1:16" hidden="1" x14ac:dyDescent="0.2">
      <c r="A339" s="41" t="s">
        <v>377</v>
      </c>
      <c r="B339" s="4" t="s">
        <v>376</v>
      </c>
      <c r="C339" s="4"/>
      <c r="D339" s="21" t="s">
        <v>375</v>
      </c>
      <c r="E339" s="11">
        <f t="shared" si="64"/>
        <v>0</v>
      </c>
      <c r="F339" s="12"/>
      <c r="G339" s="12"/>
      <c r="H339" s="12"/>
      <c r="I339" s="12"/>
      <c r="J339" s="11">
        <f t="shared" si="65"/>
        <v>0</v>
      </c>
      <c r="K339" s="12"/>
      <c r="L339" s="12">
        <f>SUM(L342:L344)</f>
        <v>0</v>
      </c>
      <c r="M339" s="12">
        <f>SUM(M342:M344)</f>
        <v>0</v>
      </c>
      <c r="N339" s="12">
        <f>SUM(N342:N344)</f>
        <v>0</v>
      </c>
      <c r="O339" s="12">
        <f>K339</f>
        <v>0</v>
      </c>
      <c r="P339" s="13">
        <f>E339+J339</f>
        <v>0</v>
      </c>
    </row>
    <row r="340" spans="1:16" s="1" customFormat="1" ht="51" hidden="1" x14ac:dyDescent="0.2">
      <c r="A340" s="36"/>
      <c r="B340" s="3"/>
      <c r="C340" s="3"/>
      <c r="D340" s="19" t="s">
        <v>573</v>
      </c>
      <c r="E340" s="10"/>
      <c r="F340" s="17"/>
      <c r="G340" s="17"/>
      <c r="H340" s="17"/>
      <c r="I340" s="17"/>
      <c r="J340" s="11">
        <f t="shared" si="65"/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/>
      <c r="B341" s="3"/>
      <c r="C341" s="3"/>
      <c r="D341" s="19" t="s">
        <v>485</v>
      </c>
      <c r="E341" s="10"/>
      <c r="F341" s="17"/>
      <c r="G341" s="17"/>
      <c r="H341" s="17"/>
      <c r="I341" s="17"/>
      <c r="J341" s="10">
        <f>K341+L341</f>
        <v>0</v>
      </c>
      <c r="K341" s="17"/>
      <c r="L341" s="17"/>
      <c r="M341" s="17"/>
      <c r="N341" s="17"/>
      <c r="O341" s="12">
        <f>K341</f>
        <v>0</v>
      </c>
      <c r="P341" s="13">
        <f>E341+J341</f>
        <v>0</v>
      </c>
    </row>
    <row r="342" spans="1:16" s="1" customFormat="1" hidden="1" x14ac:dyDescent="0.2">
      <c r="A342" s="36" t="s">
        <v>381</v>
      </c>
      <c r="B342" s="3" t="s">
        <v>378</v>
      </c>
      <c r="C342" s="3" t="s">
        <v>373</v>
      </c>
      <c r="D342" s="19" t="s">
        <v>384</v>
      </c>
      <c r="E342" s="11">
        <f t="shared" si="64"/>
        <v>0</v>
      </c>
      <c r="F342" s="17"/>
      <c r="G342" s="17"/>
      <c r="H342" s="17"/>
      <c r="I342" s="17"/>
      <c r="J342" s="11">
        <f t="shared" si="65"/>
        <v>0</v>
      </c>
      <c r="K342" s="17"/>
      <c r="L342" s="17"/>
      <c r="M342" s="17"/>
      <c r="N342" s="17"/>
      <c r="O342" s="12">
        <f t="shared" si="66"/>
        <v>0</v>
      </c>
      <c r="P342" s="13">
        <f t="shared" si="67"/>
        <v>0</v>
      </c>
    </row>
    <row r="343" spans="1:16" s="1" customFormat="1" x14ac:dyDescent="0.2">
      <c r="A343" s="36" t="s">
        <v>382</v>
      </c>
      <c r="B343" s="3" t="s">
        <v>379</v>
      </c>
      <c r="C343" s="3" t="s">
        <v>373</v>
      </c>
      <c r="D343" s="19" t="s">
        <v>385</v>
      </c>
      <c r="E343" s="11">
        <f t="shared" si="64"/>
        <v>0</v>
      </c>
      <c r="F343" s="17"/>
      <c r="G343" s="17"/>
      <c r="H343" s="17"/>
      <c r="I343" s="17"/>
      <c r="J343" s="11">
        <f t="shared" si="65"/>
        <v>28916</v>
      </c>
      <c r="K343" s="17">
        <f>70000-41084</f>
        <v>28916</v>
      </c>
      <c r="L343" s="17"/>
      <c r="M343" s="17"/>
      <c r="N343" s="17"/>
      <c r="O343" s="12">
        <f t="shared" si="66"/>
        <v>28916</v>
      </c>
      <c r="P343" s="13">
        <f t="shared" si="67"/>
        <v>28916</v>
      </c>
    </row>
    <row r="344" spans="1:16" s="1" customFormat="1" x14ac:dyDescent="0.2">
      <c r="A344" s="36" t="s">
        <v>383</v>
      </c>
      <c r="B344" s="3" t="s">
        <v>380</v>
      </c>
      <c r="C344" s="3" t="s">
        <v>373</v>
      </c>
      <c r="D344" s="19" t="s">
        <v>386</v>
      </c>
      <c r="E344" s="11">
        <f t="shared" si="64"/>
        <v>0</v>
      </c>
      <c r="F344" s="17"/>
      <c r="G344" s="17"/>
      <c r="H344" s="17"/>
      <c r="I344" s="17"/>
      <c r="J344" s="11">
        <f t="shared" si="65"/>
        <v>91725630</v>
      </c>
      <c r="K344" s="17">
        <f>35005000-13279370-10000000+80000000</f>
        <v>91725630</v>
      </c>
      <c r="L344" s="17"/>
      <c r="M344" s="17"/>
      <c r="N344" s="17"/>
      <c r="O344" s="12">
        <f t="shared" si="66"/>
        <v>91725630</v>
      </c>
      <c r="P344" s="13">
        <f t="shared" si="67"/>
        <v>91725630</v>
      </c>
    </row>
    <row r="345" spans="1:16" ht="25.5" hidden="1" x14ac:dyDescent="0.2">
      <c r="A345" s="41">
        <v>4713100</v>
      </c>
      <c r="B345" s="4" t="s">
        <v>163</v>
      </c>
      <c r="C345" s="4"/>
      <c r="D345" s="21" t="s">
        <v>27</v>
      </c>
      <c r="E345" s="11">
        <f>E346</f>
        <v>0</v>
      </c>
      <c r="F345" s="11">
        <f t="shared" ref="F345:O345" si="68">F346</f>
        <v>0</v>
      </c>
      <c r="G345" s="11">
        <f t="shared" si="68"/>
        <v>0</v>
      </c>
      <c r="H345" s="11">
        <f t="shared" si="68"/>
        <v>0</v>
      </c>
      <c r="I345" s="11">
        <f t="shared" si="68"/>
        <v>0</v>
      </c>
      <c r="J345" s="11">
        <f t="shared" si="65"/>
        <v>0</v>
      </c>
      <c r="K345" s="11"/>
      <c r="L345" s="11">
        <f t="shared" si="68"/>
        <v>0</v>
      </c>
      <c r="M345" s="11">
        <f t="shared" si="68"/>
        <v>0</v>
      </c>
      <c r="N345" s="11">
        <f t="shared" si="68"/>
        <v>0</v>
      </c>
      <c r="O345" s="11">
        <f t="shared" si="68"/>
        <v>0</v>
      </c>
      <c r="P345" s="13">
        <f t="shared" si="67"/>
        <v>0</v>
      </c>
    </row>
    <row r="346" spans="1:16" s="1" customFormat="1" hidden="1" x14ac:dyDescent="0.2">
      <c r="A346" s="36">
        <v>4713105</v>
      </c>
      <c r="B346" s="3" t="s">
        <v>65</v>
      </c>
      <c r="C346" s="3" t="s">
        <v>72</v>
      </c>
      <c r="D346" s="24" t="s">
        <v>118</v>
      </c>
      <c r="E346" s="10">
        <f>F346+I346</f>
        <v>0</v>
      </c>
      <c r="F346" s="33"/>
      <c r="G346" s="33"/>
      <c r="H346" s="33"/>
      <c r="I346" s="33"/>
      <c r="J346" s="11">
        <f t="shared" si="65"/>
        <v>0</v>
      </c>
      <c r="K346" s="17"/>
      <c r="L346" s="33"/>
      <c r="M346" s="33"/>
      <c r="N346" s="33"/>
      <c r="O346" s="17">
        <f>K346</f>
        <v>0</v>
      </c>
      <c r="P346" s="13">
        <f t="shared" si="67"/>
        <v>0</v>
      </c>
    </row>
    <row r="347" spans="1:16" hidden="1" x14ac:dyDescent="0.2">
      <c r="A347" s="41">
        <v>4715040</v>
      </c>
      <c r="B347" s="20" t="s">
        <v>152</v>
      </c>
      <c r="C347" s="20"/>
      <c r="D347" s="5" t="s">
        <v>153</v>
      </c>
      <c r="E347" s="11">
        <f>E348</f>
        <v>0</v>
      </c>
      <c r="F347" s="11">
        <f t="shared" ref="F347:O347" si="69">F348</f>
        <v>0</v>
      </c>
      <c r="G347" s="11">
        <f t="shared" si="69"/>
        <v>0</v>
      </c>
      <c r="H347" s="11">
        <f t="shared" si="69"/>
        <v>0</v>
      </c>
      <c r="I347" s="11">
        <f t="shared" si="69"/>
        <v>0</v>
      </c>
      <c r="J347" s="11">
        <f t="shared" si="65"/>
        <v>0</v>
      </c>
      <c r="K347" s="11"/>
      <c r="L347" s="11">
        <f t="shared" si="69"/>
        <v>0</v>
      </c>
      <c r="M347" s="11">
        <f t="shared" si="69"/>
        <v>0</v>
      </c>
      <c r="N347" s="11">
        <f t="shared" si="69"/>
        <v>0</v>
      </c>
      <c r="O347" s="11">
        <f t="shared" si="69"/>
        <v>0</v>
      </c>
      <c r="P347" s="13">
        <f t="shared" si="67"/>
        <v>0</v>
      </c>
    </row>
    <row r="348" spans="1:16" hidden="1" x14ac:dyDescent="0.2">
      <c r="A348" s="74">
        <v>4715041</v>
      </c>
      <c r="B348" s="22" t="s">
        <v>154</v>
      </c>
      <c r="C348" s="22" t="s">
        <v>15</v>
      </c>
      <c r="D348" s="24" t="s">
        <v>155</v>
      </c>
      <c r="E348" s="11">
        <f>F348+I348</f>
        <v>0</v>
      </c>
      <c r="F348" s="33"/>
      <c r="G348" s="33"/>
      <c r="H348" s="33"/>
      <c r="I348" s="33"/>
      <c r="J348" s="11">
        <f t="shared" si="65"/>
        <v>0</v>
      </c>
      <c r="K348" s="12"/>
      <c r="L348" s="33"/>
      <c r="M348" s="33"/>
      <c r="N348" s="33"/>
      <c r="O348" s="17">
        <f>K348</f>
        <v>0</v>
      </c>
      <c r="P348" s="13">
        <f t="shared" si="67"/>
        <v>0</v>
      </c>
    </row>
    <row r="349" spans="1:16" hidden="1" x14ac:dyDescent="0.2">
      <c r="A349" s="41">
        <v>4716050</v>
      </c>
      <c r="B349" s="4" t="s">
        <v>164</v>
      </c>
      <c r="C349" s="4"/>
      <c r="D349" s="47" t="s">
        <v>92</v>
      </c>
      <c r="E349" s="11">
        <f t="shared" si="64"/>
        <v>0</v>
      </c>
      <c r="F349" s="30"/>
      <c r="G349" s="30"/>
      <c r="H349" s="30"/>
      <c r="I349" s="30"/>
      <c r="J349" s="11">
        <f t="shared" si="65"/>
        <v>0</v>
      </c>
      <c r="K349" s="30"/>
      <c r="L349" s="30"/>
      <c r="M349" s="30"/>
      <c r="N349" s="30"/>
      <c r="O349" s="30">
        <f>O350</f>
        <v>0</v>
      </c>
      <c r="P349" s="13">
        <f t="shared" si="67"/>
        <v>0</v>
      </c>
    </row>
    <row r="350" spans="1:16" s="1" customFormat="1" hidden="1" x14ac:dyDescent="0.2">
      <c r="A350" s="36">
        <v>4716051</v>
      </c>
      <c r="B350" s="3" t="s">
        <v>68</v>
      </c>
      <c r="C350" s="3" t="s">
        <v>82</v>
      </c>
      <c r="D350" s="90" t="s">
        <v>93</v>
      </c>
      <c r="E350" s="11">
        <f t="shared" si="64"/>
        <v>0</v>
      </c>
      <c r="F350" s="33"/>
      <c r="G350" s="33"/>
      <c r="H350" s="33"/>
      <c r="I350" s="33"/>
      <c r="J350" s="11">
        <f t="shared" si="65"/>
        <v>0</v>
      </c>
      <c r="K350" s="33"/>
      <c r="L350" s="33"/>
      <c r="M350" s="33"/>
      <c r="N350" s="33"/>
      <c r="O350" s="17">
        <f t="shared" ref="O350:O358" si="70">K350</f>
        <v>0</v>
      </c>
      <c r="P350" s="13">
        <f t="shared" si="67"/>
        <v>0</v>
      </c>
    </row>
    <row r="351" spans="1:16" s="1" customFormat="1" ht="25.5" x14ac:dyDescent="0.2">
      <c r="A351" s="36"/>
      <c r="B351" s="3"/>
      <c r="C351" s="3"/>
      <c r="D351" s="69" t="s">
        <v>9</v>
      </c>
      <c r="E351" s="11"/>
      <c r="F351" s="33"/>
      <c r="G351" s="33"/>
      <c r="H351" s="33"/>
      <c r="I351" s="33"/>
      <c r="J351" s="10">
        <f t="shared" si="65"/>
        <v>80000000</v>
      </c>
      <c r="K351" s="33">
        <v>80000000</v>
      </c>
      <c r="L351" s="33"/>
      <c r="M351" s="33"/>
      <c r="N351" s="33"/>
      <c r="O351" s="33">
        <f>K351</f>
        <v>80000000</v>
      </c>
      <c r="P351" s="13">
        <f t="shared" si="67"/>
        <v>80000000</v>
      </c>
    </row>
    <row r="352" spans="1:16" ht="15.75" customHeight="1" x14ac:dyDescent="0.2">
      <c r="A352" s="41" t="s">
        <v>479</v>
      </c>
      <c r="B352" s="4" t="s">
        <v>480</v>
      </c>
      <c r="C352" s="4" t="s">
        <v>373</v>
      </c>
      <c r="D352" s="21" t="s">
        <v>562</v>
      </c>
      <c r="E352" s="11">
        <f t="shared" si="64"/>
        <v>0</v>
      </c>
      <c r="F352" s="12"/>
      <c r="G352" s="12"/>
      <c r="H352" s="12"/>
      <c r="I352" s="12"/>
      <c r="J352" s="11">
        <f t="shared" si="65"/>
        <v>11964390</v>
      </c>
      <c r="K352" s="12">
        <f>8464390+550000+2950000</f>
        <v>11964390</v>
      </c>
      <c r="L352" s="12"/>
      <c r="M352" s="12"/>
      <c r="N352" s="12"/>
      <c r="O352" s="12">
        <f>K352</f>
        <v>11964390</v>
      </c>
      <c r="P352" s="13">
        <f t="shared" si="67"/>
        <v>11964390</v>
      </c>
    </row>
    <row r="353" spans="1:16" ht="27.75" hidden="1" customHeight="1" x14ac:dyDescent="0.2">
      <c r="A353" s="41" t="s">
        <v>493</v>
      </c>
      <c r="B353" s="4" t="s">
        <v>494</v>
      </c>
      <c r="C353" s="4"/>
      <c r="D353" s="21" t="s">
        <v>495</v>
      </c>
      <c r="E353" s="11">
        <f t="shared" si="64"/>
        <v>0</v>
      </c>
      <c r="F353" s="12"/>
      <c r="G353" s="12"/>
      <c r="H353" s="12"/>
      <c r="I353" s="12"/>
      <c r="J353" s="11">
        <f t="shared" si="65"/>
        <v>0</v>
      </c>
      <c r="K353" s="12"/>
      <c r="L353" s="12"/>
      <c r="M353" s="12"/>
      <c r="N353" s="12"/>
      <c r="O353" s="12">
        <f t="shared" si="70"/>
        <v>0</v>
      </c>
      <c r="P353" s="13">
        <f t="shared" si="67"/>
        <v>0</v>
      </c>
    </row>
    <row r="354" spans="1:16" s="1" customFormat="1" ht="25.5" x14ac:dyDescent="0.2">
      <c r="A354" s="36" t="s">
        <v>496</v>
      </c>
      <c r="B354" s="3" t="s">
        <v>497</v>
      </c>
      <c r="C354" s="3" t="s">
        <v>135</v>
      </c>
      <c r="D354" s="19" t="s">
        <v>498</v>
      </c>
      <c r="E354" s="10">
        <f t="shared" si="64"/>
        <v>0</v>
      </c>
      <c r="F354" s="17"/>
      <c r="G354" s="17"/>
      <c r="H354" s="17"/>
      <c r="I354" s="17"/>
      <c r="J354" s="10">
        <f t="shared" si="65"/>
        <v>3492976</v>
      </c>
      <c r="K354" s="17">
        <f>2500000+992976</f>
        <v>3492976</v>
      </c>
      <c r="L354" s="17"/>
      <c r="M354" s="17"/>
      <c r="N354" s="17"/>
      <c r="O354" s="17">
        <f t="shared" si="70"/>
        <v>3492976</v>
      </c>
      <c r="P354" s="16">
        <f t="shared" si="67"/>
        <v>3492976</v>
      </c>
    </row>
    <row r="355" spans="1:16" ht="25.5" x14ac:dyDescent="0.2">
      <c r="A355" s="41" t="s">
        <v>521</v>
      </c>
      <c r="B355" s="4" t="s">
        <v>518</v>
      </c>
      <c r="C355" s="4" t="s">
        <v>135</v>
      </c>
      <c r="D355" s="21" t="s">
        <v>519</v>
      </c>
      <c r="E355" s="11">
        <f t="shared" si="64"/>
        <v>0</v>
      </c>
      <c r="F355" s="12"/>
      <c r="G355" s="12"/>
      <c r="H355" s="12"/>
      <c r="I355" s="12"/>
      <c r="J355" s="11">
        <f t="shared" si="65"/>
        <v>10000000</v>
      </c>
      <c r="K355" s="12">
        <f>K356</f>
        <v>10000000</v>
      </c>
      <c r="L355" s="12"/>
      <c r="M355" s="12"/>
      <c r="N355" s="12"/>
      <c r="O355" s="12">
        <f t="shared" si="70"/>
        <v>10000000</v>
      </c>
      <c r="P355" s="13">
        <f t="shared" si="67"/>
        <v>10000000</v>
      </c>
    </row>
    <row r="356" spans="1:16" s="1" customFormat="1" ht="25.5" x14ac:dyDescent="0.2">
      <c r="A356" s="36"/>
      <c r="B356" s="3"/>
      <c r="C356" s="3"/>
      <c r="D356" s="19" t="s">
        <v>520</v>
      </c>
      <c r="E356" s="10">
        <f t="shared" si="64"/>
        <v>0</v>
      </c>
      <c r="F356" s="17"/>
      <c r="G356" s="17"/>
      <c r="H356" s="17"/>
      <c r="I356" s="17"/>
      <c r="J356" s="10">
        <f t="shared" si="65"/>
        <v>10000000</v>
      </c>
      <c r="K356" s="17">
        <v>10000000</v>
      </c>
      <c r="L356" s="17"/>
      <c r="M356" s="17"/>
      <c r="N356" s="17"/>
      <c r="O356" s="17">
        <f t="shared" si="70"/>
        <v>10000000</v>
      </c>
      <c r="P356" s="16">
        <f t="shared" si="67"/>
        <v>10000000</v>
      </c>
    </row>
    <row r="357" spans="1:16" s="1" customFormat="1" ht="25.5" x14ac:dyDescent="0.2">
      <c r="A357" s="36" t="s">
        <v>510</v>
      </c>
      <c r="B357" s="3" t="s">
        <v>508</v>
      </c>
      <c r="C357" s="3" t="s">
        <v>135</v>
      </c>
      <c r="D357" s="35" t="s">
        <v>511</v>
      </c>
      <c r="E357" s="10">
        <f t="shared" si="64"/>
        <v>0</v>
      </c>
      <c r="F357" s="17"/>
      <c r="G357" s="17"/>
      <c r="H357" s="17"/>
      <c r="I357" s="17"/>
      <c r="J357" s="10">
        <f t="shared" si="65"/>
        <v>88704042</v>
      </c>
      <c r="K357" s="17">
        <f>90004042+1641600-2441600-500000</f>
        <v>88704042</v>
      </c>
      <c r="L357" s="17"/>
      <c r="M357" s="17"/>
      <c r="N357" s="17"/>
      <c r="O357" s="17">
        <f t="shared" si="70"/>
        <v>88704042</v>
      </c>
      <c r="P357" s="16">
        <f t="shared" si="67"/>
        <v>88704042</v>
      </c>
    </row>
    <row r="358" spans="1:16" s="1" customFormat="1" ht="25.5" x14ac:dyDescent="0.2">
      <c r="A358" s="36"/>
      <c r="B358" s="3"/>
      <c r="C358" s="3"/>
      <c r="D358" s="35" t="s">
        <v>512</v>
      </c>
      <c r="E358" s="10"/>
      <c r="F358" s="17"/>
      <c r="G358" s="17"/>
      <c r="H358" s="17"/>
      <c r="I358" s="17"/>
      <c r="J358" s="10">
        <f t="shared" si="65"/>
        <v>44885444</v>
      </c>
      <c r="K358" s="17">
        <v>44885444</v>
      </c>
      <c r="L358" s="17"/>
      <c r="M358" s="17"/>
      <c r="N358" s="17"/>
      <c r="O358" s="17">
        <f t="shared" si="70"/>
        <v>44885444</v>
      </c>
      <c r="P358" s="16">
        <f t="shared" si="67"/>
        <v>44885444</v>
      </c>
    </row>
    <row r="359" spans="1:16" ht="25.5" hidden="1" x14ac:dyDescent="0.2">
      <c r="A359" s="41" t="s">
        <v>596</v>
      </c>
      <c r="B359" s="8" t="s">
        <v>597</v>
      </c>
      <c r="C359" s="4" t="s">
        <v>135</v>
      </c>
      <c r="D359" s="77" t="s">
        <v>598</v>
      </c>
      <c r="E359" s="11">
        <f t="shared" si="64"/>
        <v>0</v>
      </c>
      <c r="F359" s="12"/>
      <c r="G359" s="12"/>
      <c r="H359" s="12"/>
      <c r="I359" s="12"/>
      <c r="J359" s="10">
        <f t="shared" si="65"/>
        <v>0</v>
      </c>
      <c r="K359" s="12"/>
      <c r="L359" s="12"/>
      <c r="M359" s="12"/>
      <c r="N359" s="12"/>
      <c r="O359" s="12">
        <f>K359</f>
        <v>0</v>
      </c>
      <c r="P359" s="13">
        <f t="shared" si="67"/>
        <v>0</v>
      </c>
    </row>
    <row r="360" spans="1:16" s="1" customFormat="1" ht="51" hidden="1" x14ac:dyDescent="0.2">
      <c r="A360" s="36"/>
      <c r="B360" s="18"/>
      <c r="C360" s="3"/>
      <c r="D360" s="35" t="s">
        <v>599</v>
      </c>
      <c r="E360" s="10"/>
      <c r="F360" s="17"/>
      <c r="G360" s="17"/>
      <c r="H360" s="17"/>
      <c r="I360" s="17"/>
      <c r="J360" s="10">
        <f t="shared" si="65"/>
        <v>0</v>
      </c>
      <c r="K360" s="17"/>
      <c r="L360" s="17"/>
      <c r="M360" s="17"/>
      <c r="N360" s="17"/>
      <c r="O360" s="17"/>
      <c r="P360" s="13">
        <f t="shared" si="67"/>
        <v>0</v>
      </c>
    </row>
    <row r="361" spans="1:16" s="1" customFormat="1" ht="25.5" x14ac:dyDescent="0.2">
      <c r="A361" s="36" t="s">
        <v>554</v>
      </c>
      <c r="B361" s="22" t="s">
        <v>333</v>
      </c>
      <c r="C361" s="3" t="s">
        <v>83</v>
      </c>
      <c r="D361" s="19" t="s">
        <v>332</v>
      </c>
      <c r="E361" s="10">
        <f t="shared" si="64"/>
        <v>58587977</v>
      </c>
      <c r="F361" s="17">
        <f>43310000+15277977</f>
        <v>58587977</v>
      </c>
      <c r="G361" s="17"/>
      <c r="H361" s="17"/>
      <c r="I361" s="17"/>
      <c r="J361" s="11">
        <f t="shared" ref="J361:J367" si="71">L361+O361</f>
        <v>24745334</v>
      </c>
      <c r="K361" s="99">
        <f>16622139-2169600-29884+322679+10000000</f>
        <v>24745334</v>
      </c>
      <c r="L361" s="17"/>
      <c r="M361" s="17"/>
      <c r="N361" s="17"/>
      <c r="O361" s="17">
        <f>K361</f>
        <v>24745334</v>
      </c>
      <c r="P361" s="16">
        <f t="shared" si="67"/>
        <v>83333311</v>
      </c>
    </row>
    <row r="362" spans="1:16" s="1" customFormat="1" ht="25.5" hidden="1" x14ac:dyDescent="0.2">
      <c r="A362" s="36"/>
      <c r="B362" s="3"/>
      <c r="C362" s="3"/>
      <c r="D362" s="35" t="s">
        <v>512</v>
      </c>
      <c r="E362" s="10">
        <f t="shared" si="64"/>
        <v>0</v>
      </c>
      <c r="F362" s="17"/>
      <c r="G362" s="17"/>
      <c r="H362" s="17"/>
      <c r="I362" s="17"/>
      <c r="J362" s="11">
        <f t="shared" si="71"/>
        <v>0</v>
      </c>
      <c r="K362" s="17"/>
      <c r="L362" s="17"/>
      <c r="M362" s="17"/>
      <c r="N362" s="17"/>
      <c r="O362" s="17">
        <f>K362</f>
        <v>0</v>
      </c>
      <c r="P362" s="16">
        <f t="shared" si="67"/>
        <v>0</v>
      </c>
    </row>
    <row r="363" spans="1:16" hidden="1" x14ac:dyDescent="0.2">
      <c r="A363" s="41" t="s">
        <v>561</v>
      </c>
      <c r="B363" s="3" t="s">
        <v>198</v>
      </c>
      <c r="C363" s="3" t="s">
        <v>135</v>
      </c>
      <c r="D363" s="73" t="s">
        <v>199</v>
      </c>
      <c r="E363" s="10">
        <f t="shared" si="64"/>
        <v>0</v>
      </c>
      <c r="F363" s="12"/>
      <c r="G363" s="12"/>
      <c r="H363" s="12"/>
      <c r="I363" s="12"/>
      <c r="J363" s="11">
        <f t="shared" si="71"/>
        <v>0</v>
      </c>
      <c r="K363" s="12"/>
      <c r="L363" s="12"/>
      <c r="M363" s="12"/>
      <c r="N363" s="12"/>
      <c r="O363" s="17">
        <f>K363</f>
        <v>0</v>
      </c>
      <c r="P363" s="16">
        <f t="shared" si="67"/>
        <v>0</v>
      </c>
    </row>
    <row r="364" spans="1:16" hidden="1" x14ac:dyDescent="0.2">
      <c r="A364" s="41" t="s">
        <v>579</v>
      </c>
      <c r="B364" s="20" t="s">
        <v>473</v>
      </c>
      <c r="C364" s="20" t="s">
        <v>137</v>
      </c>
      <c r="D364" s="24" t="s">
        <v>141</v>
      </c>
      <c r="E364" s="10">
        <f t="shared" si="64"/>
        <v>0</v>
      </c>
      <c r="F364" s="30"/>
      <c r="G364" s="30"/>
      <c r="H364" s="30"/>
      <c r="I364" s="30"/>
      <c r="J364" s="11">
        <f t="shared" si="71"/>
        <v>0</v>
      </c>
      <c r="K364" s="30"/>
      <c r="L364" s="30"/>
      <c r="M364" s="30"/>
      <c r="N364" s="30"/>
      <c r="O364" s="12"/>
      <c r="P364" s="13">
        <f t="shared" si="67"/>
        <v>0</v>
      </c>
    </row>
    <row r="365" spans="1:16" ht="15" hidden="1" customHeight="1" x14ac:dyDescent="0.2">
      <c r="A365" s="41"/>
      <c r="B365" s="20"/>
      <c r="C365" s="20"/>
      <c r="D365" s="24" t="s">
        <v>486</v>
      </c>
      <c r="E365" s="10">
        <f>F365+I365</f>
        <v>0</v>
      </c>
      <c r="F365" s="33"/>
      <c r="G365" s="33"/>
      <c r="H365" s="33"/>
      <c r="I365" s="33"/>
      <c r="J365" s="10">
        <f>L365+O365</f>
        <v>0</v>
      </c>
      <c r="K365" s="33"/>
      <c r="L365" s="33"/>
      <c r="M365" s="33"/>
      <c r="N365" s="33"/>
      <c r="O365" s="33"/>
      <c r="P365" s="16">
        <f>E365+J365</f>
        <v>0</v>
      </c>
    </row>
    <row r="366" spans="1:16" s="1" customFormat="1" ht="25.5" hidden="1" x14ac:dyDescent="0.2">
      <c r="A366" s="36" t="s">
        <v>577</v>
      </c>
      <c r="B366" s="22" t="s">
        <v>578</v>
      </c>
      <c r="C366" s="22" t="s">
        <v>364</v>
      </c>
      <c r="D366" s="21" t="s">
        <v>580</v>
      </c>
      <c r="E366" s="10">
        <f t="shared" si="64"/>
        <v>0</v>
      </c>
      <c r="F366" s="33"/>
      <c r="G366" s="33"/>
      <c r="H366" s="33"/>
      <c r="I366" s="33"/>
      <c r="J366" s="10">
        <f t="shared" si="71"/>
        <v>0</v>
      </c>
      <c r="K366" s="33"/>
      <c r="L366" s="33"/>
      <c r="M366" s="33"/>
      <c r="N366" s="33"/>
      <c r="O366" s="33"/>
      <c r="P366" s="16">
        <f t="shared" si="67"/>
        <v>0</v>
      </c>
    </row>
    <row r="367" spans="1:16" s="1" customFormat="1" ht="25.5" hidden="1" x14ac:dyDescent="0.2">
      <c r="A367" s="36"/>
      <c r="B367" s="22"/>
      <c r="C367" s="22"/>
      <c r="D367" s="24" t="s">
        <v>575</v>
      </c>
      <c r="E367" s="10"/>
      <c r="F367" s="33"/>
      <c r="G367" s="33"/>
      <c r="H367" s="33"/>
      <c r="I367" s="33"/>
      <c r="J367" s="10">
        <f t="shared" si="71"/>
        <v>0</v>
      </c>
      <c r="K367" s="33"/>
      <c r="L367" s="33"/>
      <c r="M367" s="33"/>
      <c r="N367" s="33"/>
      <c r="O367" s="33">
        <f>O366</f>
        <v>0</v>
      </c>
      <c r="P367" s="16">
        <f t="shared" si="67"/>
        <v>0</v>
      </c>
    </row>
    <row r="368" spans="1:16" x14ac:dyDescent="0.2">
      <c r="A368" s="41" t="s">
        <v>669</v>
      </c>
      <c r="B368" s="20" t="s">
        <v>190</v>
      </c>
      <c r="C368" s="4" t="s">
        <v>136</v>
      </c>
      <c r="D368" s="47" t="s">
        <v>91</v>
      </c>
      <c r="E368" s="11"/>
      <c r="F368" s="30"/>
      <c r="G368" s="30"/>
      <c r="H368" s="30"/>
      <c r="I368" s="30"/>
      <c r="J368" s="11">
        <f>L368+O368</f>
        <v>183390</v>
      </c>
      <c r="K368" s="30">
        <f>50000+133390</f>
        <v>183390</v>
      </c>
      <c r="L368" s="30"/>
      <c r="M368" s="30"/>
      <c r="N368" s="30"/>
      <c r="O368" s="12">
        <f>K368</f>
        <v>183390</v>
      </c>
      <c r="P368" s="13">
        <f>E368+J368</f>
        <v>183390</v>
      </c>
    </row>
    <row r="369" spans="1:18" x14ac:dyDescent="0.2">
      <c r="A369" s="41" t="s">
        <v>670</v>
      </c>
      <c r="B369" s="4" t="s">
        <v>189</v>
      </c>
      <c r="C369" s="4" t="s">
        <v>135</v>
      </c>
      <c r="D369" s="72" t="s">
        <v>341</v>
      </c>
      <c r="E369" s="11">
        <f>F369+I369</f>
        <v>0</v>
      </c>
      <c r="F369" s="11"/>
      <c r="G369" s="11"/>
      <c r="H369" s="11"/>
      <c r="I369" s="11"/>
      <c r="J369" s="11">
        <f>L369+O369</f>
        <v>2579500</v>
      </c>
      <c r="K369" s="11">
        <f>1839500+5000+600000+135000</f>
        <v>2579500</v>
      </c>
      <c r="L369" s="11"/>
      <c r="M369" s="11"/>
      <c r="N369" s="11"/>
      <c r="O369" s="12">
        <f>K369</f>
        <v>2579500</v>
      </c>
      <c r="P369" s="13">
        <f>E369+J369</f>
        <v>2579500</v>
      </c>
    </row>
    <row r="370" spans="1:18" s="1" customFormat="1" x14ac:dyDescent="0.2">
      <c r="A370" s="36" t="s">
        <v>579</v>
      </c>
      <c r="B370" s="22" t="s">
        <v>473</v>
      </c>
      <c r="C370" s="4" t="s">
        <v>137</v>
      </c>
      <c r="D370" s="14" t="s">
        <v>141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f>O371</f>
        <v>31436000</v>
      </c>
      <c r="P370" s="13">
        <f>E370+J370</f>
        <v>31436000</v>
      </c>
    </row>
    <row r="371" spans="1:18" s="1" customFormat="1" ht="13.5" customHeight="1" x14ac:dyDescent="0.2">
      <c r="A371" s="36"/>
      <c r="B371" s="22"/>
      <c r="C371" s="3"/>
      <c r="D371" s="24" t="s">
        <v>486</v>
      </c>
      <c r="E371" s="11"/>
      <c r="F371" s="33"/>
      <c r="G371" s="33"/>
      <c r="H371" s="33"/>
      <c r="I371" s="33"/>
      <c r="J371" s="11">
        <f>L371+O371</f>
        <v>31436000</v>
      </c>
      <c r="K371" s="33"/>
      <c r="L371" s="33"/>
      <c r="M371" s="33"/>
      <c r="N371" s="33"/>
      <c r="O371" s="33">
        <v>31436000</v>
      </c>
      <c r="P371" s="13">
        <f>E371+J371</f>
        <v>31436000</v>
      </c>
    </row>
    <row r="372" spans="1:18" s="1" customFormat="1" ht="25.5" x14ac:dyDescent="0.2">
      <c r="A372" s="36" t="s">
        <v>13</v>
      </c>
      <c r="B372" s="22" t="s">
        <v>12</v>
      </c>
      <c r="C372" s="22" t="s">
        <v>82</v>
      </c>
      <c r="D372" s="24" t="s">
        <v>11</v>
      </c>
      <c r="E372" s="11">
        <f>F372+I372</f>
        <v>1020000</v>
      </c>
      <c r="F372" s="33">
        <f>260000+570000+190000</f>
        <v>1020000</v>
      </c>
      <c r="G372" s="33"/>
      <c r="H372" s="33"/>
      <c r="I372" s="33"/>
      <c r="J372" s="11">
        <f>L372+O372</f>
        <v>0</v>
      </c>
      <c r="K372" s="33"/>
      <c r="L372" s="33"/>
      <c r="M372" s="33"/>
      <c r="N372" s="33"/>
      <c r="O372" s="33"/>
      <c r="P372" s="13">
        <f>E372+J372</f>
        <v>1020000</v>
      </c>
    </row>
    <row r="373" spans="1:18" ht="15.75" customHeight="1" x14ac:dyDescent="0.2">
      <c r="A373" s="62">
        <v>3100000</v>
      </c>
      <c r="B373" s="6"/>
      <c r="C373" s="7"/>
      <c r="D373" s="31" t="s">
        <v>84</v>
      </c>
      <c r="E373" s="25">
        <f>E375</f>
        <v>5894600</v>
      </c>
      <c r="F373" s="25">
        <f t="shared" ref="F373:O373" si="72">F375</f>
        <v>5894600</v>
      </c>
      <c r="G373" s="25">
        <f t="shared" si="72"/>
        <v>1500000</v>
      </c>
      <c r="H373" s="25">
        <f t="shared" si="72"/>
        <v>0</v>
      </c>
      <c r="I373" s="25">
        <f t="shared" si="72"/>
        <v>0</v>
      </c>
      <c r="J373" s="25">
        <f t="shared" si="72"/>
        <v>1217000</v>
      </c>
      <c r="K373" s="25">
        <f>K375</f>
        <v>1217000</v>
      </c>
      <c r="L373" s="25">
        <f t="shared" si="72"/>
        <v>0</v>
      </c>
      <c r="M373" s="25">
        <f t="shared" si="72"/>
        <v>0</v>
      </c>
      <c r="N373" s="25">
        <f t="shared" si="72"/>
        <v>0</v>
      </c>
      <c r="O373" s="25">
        <f t="shared" si="72"/>
        <v>1217000</v>
      </c>
      <c r="P373" s="13">
        <f t="shared" si="67"/>
        <v>7111600</v>
      </c>
      <c r="R373" s="34"/>
    </row>
    <row r="374" spans="1:18" s="1" customFormat="1" hidden="1" x14ac:dyDescent="0.2">
      <c r="A374" s="36"/>
      <c r="B374" s="18"/>
      <c r="C374" s="3"/>
      <c r="D374" s="15" t="s">
        <v>485</v>
      </c>
      <c r="E374" s="17"/>
      <c r="F374" s="17"/>
      <c r="G374" s="17"/>
      <c r="H374" s="17"/>
      <c r="I374" s="17"/>
      <c r="J374" s="17">
        <f>J379</f>
        <v>0</v>
      </c>
      <c r="K374" s="17">
        <f>K379</f>
        <v>0</v>
      </c>
      <c r="L374" s="17"/>
      <c r="M374" s="17"/>
      <c r="N374" s="17"/>
      <c r="O374" s="25">
        <f>K374</f>
        <v>0</v>
      </c>
      <c r="P374" s="13">
        <f>E374+J374</f>
        <v>0</v>
      </c>
    </row>
    <row r="375" spans="1:18" x14ac:dyDescent="0.2">
      <c r="A375" s="41" t="s">
        <v>349</v>
      </c>
      <c r="B375" s="8"/>
      <c r="C375" s="7"/>
      <c r="D375" s="15" t="s">
        <v>84</v>
      </c>
      <c r="E375" s="25">
        <f>E376+E377+E380+E385</f>
        <v>5894600</v>
      </c>
      <c r="F375" s="25">
        <f>F376+F377+F380+F385+F386</f>
        <v>5894600</v>
      </c>
      <c r="G375" s="25">
        <f>G376+G377+G380+G385</f>
        <v>1500000</v>
      </c>
      <c r="H375" s="25">
        <f>H376+H377+H380+H385</f>
        <v>0</v>
      </c>
      <c r="I375" s="25">
        <f>I376+I377+I380+I385</f>
        <v>0</v>
      </c>
      <c r="J375" s="25">
        <f t="shared" ref="J375:O375" si="73">J376+J377+J380+J385+J381+J384</f>
        <v>1217000</v>
      </c>
      <c r="K375" s="25">
        <f t="shared" si="73"/>
        <v>1217000</v>
      </c>
      <c r="L375" s="25">
        <f t="shared" si="73"/>
        <v>0</v>
      </c>
      <c r="M375" s="25">
        <f t="shared" si="73"/>
        <v>0</v>
      </c>
      <c r="N375" s="25">
        <f t="shared" si="73"/>
        <v>0</v>
      </c>
      <c r="O375" s="25">
        <f t="shared" si="73"/>
        <v>1217000</v>
      </c>
      <c r="P375" s="25">
        <f>P376+P377+P380+P385</f>
        <v>7111600</v>
      </c>
    </row>
    <row r="376" spans="1:18" ht="25.5" x14ac:dyDescent="0.2">
      <c r="A376" s="41" t="s">
        <v>350</v>
      </c>
      <c r="B376" s="4" t="s">
        <v>201</v>
      </c>
      <c r="C376" s="4" t="s">
        <v>129</v>
      </c>
      <c r="D376" s="14" t="s">
        <v>613</v>
      </c>
      <c r="E376" s="11">
        <f t="shared" ref="E376:E382" si="74">F376+I376</f>
        <v>1885600</v>
      </c>
      <c r="F376" s="12">
        <v>1885600</v>
      </c>
      <c r="G376" s="12">
        <v>1500000</v>
      </c>
      <c r="H376" s="12"/>
      <c r="I376" s="12"/>
      <c r="J376" s="11">
        <f>L376+O376</f>
        <v>228000</v>
      </c>
      <c r="K376" s="12">
        <v>228000</v>
      </c>
      <c r="L376" s="12"/>
      <c r="M376" s="12"/>
      <c r="N376" s="12"/>
      <c r="O376" s="12">
        <f>K376</f>
        <v>228000</v>
      </c>
      <c r="P376" s="13">
        <f t="shared" ref="P376:P390" si="75">E376+J376</f>
        <v>2113600</v>
      </c>
    </row>
    <row r="377" spans="1:18" x14ac:dyDescent="0.2">
      <c r="A377" s="41" t="s">
        <v>352</v>
      </c>
      <c r="B377" s="4" t="s">
        <v>351</v>
      </c>
      <c r="C377" s="4" t="s">
        <v>134</v>
      </c>
      <c r="D377" s="21" t="s">
        <v>682</v>
      </c>
      <c r="E377" s="11">
        <f t="shared" si="74"/>
        <v>0</v>
      </c>
      <c r="F377" s="12"/>
      <c r="G377" s="12"/>
      <c r="H377" s="12"/>
      <c r="I377" s="12"/>
      <c r="J377" s="11">
        <f>L377+O377</f>
        <v>700000</v>
      </c>
      <c r="K377" s="12">
        <v>700000</v>
      </c>
      <c r="L377" s="12"/>
      <c r="M377" s="12"/>
      <c r="N377" s="12"/>
      <c r="O377" s="12">
        <f>K377</f>
        <v>700000</v>
      </c>
      <c r="P377" s="13">
        <f t="shared" si="75"/>
        <v>700000</v>
      </c>
    </row>
    <row r="378" spans="1:18" s="1" customFormat="1" ht="25.5" hidden="1" x14ac:dyDescent="0.2">
      <c r="A378" s="36" t="s">
        <v>361</v>
      </c>
      <c r="B378" s="3" t="s">
        <v>360</v>
      </c>
      <c r="C378" s="3" t="s">
        <v>132</v>
      </c>
      <c r="D378" s="73" t="s">
        <v>359</v>
      </c>
      <c r="E378" s="11">
        <f>F378+I378</f>
        <v>0</v>
      </c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s="1" customFormat="1" hidden="1" x14ac:dyDescent="0.2">
      <c r="A379" s="36"/>
      <c r="B379" s="3"/>
      <c r="C379" s="3"/>
      <c r="D379" s="73" t="s">
        <v>485</v>
      </c>
      <c r="E379" s="10"/>
      <c r="F379" s="10"/>
      <c r="G379" s="10"/>
      <c r="H379" s="10"/>
      <c r="I379" s="10"/>
      <c r="J379" s="11">
        <f>K379</f>
        <v>0</v>
      </c>
      <c r="K379" s="10"/>
      <c r="L379" s="10"/>
      <c r="M379" s="10"/>
      <c r="N379" s="10"/>
      <c r="O379" s="10">
        <f>K379</f>
        <v>0</v>
      </c>
      <c r="P379" s="13">
        <f>E379+J379</f>
        <v>0</v>
      </c>
    </row>
    <row r="380" spans="1:18" x14ac:dyDescent="0.2">
      <c r="A380" s="41" t="s">
        <v>355</v>
      </c>
      <c r="B380" s="4" t="s">
        <v>354</v>
      </c>
      <c r="C380" s="4" t="s">
        <v>135</v>
      </c>
      <c r="D380" s="5" t="s">
        <v>353</v>
      </c>
      <c r="E380" s="11">
        <f t="shared" si="74"/>
        <v>0</v>
      </c>
      <c r="F380" s="12"/>
      <c r="G380" s="12"/>
      <c r="H380" s="12"/>
      <c r="I380" s="12"/>
      <c r="J380" s="11">
        <f>L380+O380</f>
        <v>199000</v>
      </c>
      <c r="K380" s="12">
        <v>199000</v>
      </c>
      <c r="L380" s="12"/>
      <c r="M380" s="12"/>
      <c r="N380" s="12"/>
      <c r="O380" s="12">
        <f>K380</f>
        <v>199000</v>
      </c>
      <c r="P380" s="13">
        <f t="shared" si="75"/>
        <v>199000</v>
      </c>
    </row>
    <row r="381" spans="1:18" ht="17.25" hidden="1" customHeight="1" x14ac:dyDescent="0.2">
      <c r="A381" s="41" t="s">
        <v>358</v>
      </c>
      <c r="B381" s="4" t="s">
        <v>357</v>
      </c>
      <c r="C381" s="4"/>
      <c r="D381" s="72" t="s">
        <v>356</v>
      </c>
      <c r="E381" s="11">
        <f t="shared" si="74"/>
        <v>0</v>
      </c>
      <c r="F381" s="11"/>
      <c r="G381" s="11"/>
      <c r="H381" s="11">
        <f>H378</f>
        <v>0</v>
      </c>
      <c r="I381" s="11">
        <f>I378</f>
        <v>0</v>
      </c>
      <c r="J381" s="11">
        <f t="shared" ref="J381:O381" si="76">J378+J382</f>
        <v>0</v>
      </c>
      <c r="K381" s="11">
        <f t="shared" si="76"/>
        <v>0</v>
      </c>
      <c r="L381" s="11">
        <f t="shared" si="76"/>
        <v>0</v>
      </c>
      <c r="M381" s="11">
        <f t="shared" si="76"/>
        <v>0</v>
      </c>
      <c r="N381" s="11">
        <f t="shared" si="76"/>
        <v>0</v>
      </c>
      <c r="O381" s="11">
        <f t="shared" si="76"/>
        <v>0</v>
      </c>
      <c r="P381" s="13">
        <f t="shared" si="75"/>
        <v>0</v>
      </c>
    </row>
    <row r="382" spans="1:18" s="1" customFormat="1" ht="38.25" hidden="1" x14ac:dyDescent="0.2">
      <c r="A382" s="36" t="s">
        <v>529</v>
      </c>
      <c r="B382" s="3" t="s">
        <v>530</v>
      </c>
      <c r="C382" s="3"/>
      <c r="D382" s="82" t="s">
        <v>531</v>
      </c>
      <c r="E382" s="11">
        <f t="shared" si="74"/>
        <v>0</v>
      </c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5"/>
        <v>0</v>
      </c>
    </row>
    <row r="383" spans="1:18" s="1" customFormat="1" ht="51" hidden="1" x14ac:dyDescent="0.2">
      <c r="A383" s="36"/>
      <c r="B383" s="3"/>
      <c r="C383" s="3"/>
      <c r="D383" s="73" t="s">
        <v>532</v>
      </c>
      <c r="E383" s="11"/>
      <c r="F383" s="10"/>
      <c r="G383" s="10"/>
      <c r="H383" s="10"/>
      <c r="I383" s="10"/>
      <c r="J383" s="11">
        <f>L383+O383</f>
        <v>0</v>
      </c>
      <c r="K383" s="10"/>
      <c r="L383" s="10"/>
      <c r="M383" s="10"/>
      <c r="N383" s="10"/>
      <c r="O383" s="10">
        <f>K383</f>
        <v>0</v>
      </c>
      <c r="P383" s="13">
        <f t="shared" si="75"/>
        <v>0</v>
      </c>
    </row>
    <row r="384" spans="1:18" hidden="1" x14ac:dyDescent="0.2">
      <c r="A384" s="41" t="s">
        <v>478</v>
      </c>
      <c r="B384" s="4" t="s">
        <v>189</v>
      </c>
      <c r="C384" s="4" t="s">
        <v>135</v>
      </c>
      <c r="D384" s="82" t="s">
        <v>341</v>
      </c>
      <c r="E384" s="11"/>
      <c r="F384" s="11"/>
      <c r="G384" s="11"/>
      <c r="H384" s="11"/>
      <c r="I384" s="11"/>
      <c r="J384" s="11">
        <f>L384+O384</f>
        <v>0</v>
      </c>
      <c r="K384" s="11"/>
      <c r="L384" s="11"/>
      <c r="M384" s="11"/>
      <c r="N384" s="11"/>
      <c r="O384" s="11">
        <f>K384</f>
        <v>0</v>
      </c>
      <c r="P384" s="13">
        <f t="shared" si="75"/>
        <v>0</v>
      </c>
    </row>
    <row r="385" spans="1:18" hidden="1" x14ac:dyDescent="0.2">
      <c r="A385" s="41" t="s">
        <v>461</v>
      </c>
      <c r="B385" s="4" t="s">
        <v>194</v>
      </c>
      <c r="C385" s="4"/>
      <c r="D385" s="82" t="s">
        <v>196</v>
      </c>
      <c r="E385" s="11">
        <f>E386</f>
        <v>4009000</v>
      </c>
      <c r="F385" s="11"/>
      <c r="G385" s="11"/>
      <c r="H385" s="11">
        <f t="shared" ref="H385:O385" si="77">H386</f>
        <v>0</v>
      </c>
      <c r="I385" s="11">
        <f t="shared" si="77"/>
        <v>0</v>
      </c>
      <c r="J385" s="11">
        <f t="shared" si="77"/>
        <v>90000</v>
      </c>
      <c r="K385" s="11">
        <f>K386</f>
        <v>90000</v>
      </c>
      <c r="L385" s="11">
        <f t="shared" si="77"/>
        <v>0</v>
      </c>
      <c r="M385" s="11">
        <f t="shared" si="77"/>
        <v>0</v>
      </c>
      <c r="N385" s="11">
        <f t="shared" si="77"/>
        <v>0</v>
      </c>
      <c r="O385" s="11">
        <f t="shared" si="77"/>
        <v>90000</v>
      </c>
      <c r="P385" s="13">
        <f t="shared" si="75"/>
        <v>4099000</v>
      </c>
    </row>
    <row r="386" spans="1:18" ht="15" customHeight="1" x14ac:dyDescent="0.2">
      <c r="A386" s="41" t="s">
        <v>462</v>
      </c>
      <c r="B386" s="4" t="s">
        <v>198</v>
      </c>
      <c r="C386" s="4" t="s">
        <v>135</v>
      </c>
      <c r="D386" s="82" t="s">
        <v>199</v>
      </c>
      <c r="E386" s="11">
        <f>F386+I386</f>
        <v>4009000</v>
      </c>
      <c r="F386" s="11">
        <f>199000+3110000+700000</f>
        <v>4009000</v>
      </c>
      <c r="G386" s="11"/>
      <c r="H386" s="11"/>
      <c r="I386" s="11"/>
      <c r="J386" s="11">
        <f>L386+O386</f>
        <v>90000</v>
      </c>
      <c r="K386" s="11">
        <v>90000</v>
      </c>
      <c r="L386" s="11"/>
      <c r="M386" s="11"/>
      <c r="N386" s="11"/>
      <c r="O386" s="11">
        <f>K386</f>
        <v>90000</v>
      </c>
      <c r="P386" s="13">
        <f t="shared" si="75"/>
        <v>4099000</v>
      </c>
    </row>
    <row r="387" spans="1:18" ht="25.5" x14ac:dyDescent="0.2">
      <c r="A387" s="62" t="s">
        <v>655</v>
      </c>
      <c r="B387" s="6"/>
      <c r="C387" s="7"/>
      <c r="D387" s="31" t="s">
        <v>658</v>
      </c>
      <c r="E387" s="25">
        <f>E388</f>
        <v>5928400</v>
      </c>
      <c r="F387" s="25">
        <f t="shared" ref="F387:P388" si="78">F388</f>
        <v>5928400</v>
      </c>
      <c r="G387" s="25">
        <f t="shared" si="78"/>
        <v>4737700</v>
      </c>
      <c r="H387" s="25">
        <f t="shared" si="78"/>
        <v>110000</v>
      </c>
      <c r="I387" s="25">
        <f t="shared" si="78"/>
        <v>0</v>
      </c>
      <c r="J387" s="25">
        <f t="shared" si="78"/>
        <v>0</v>
      </c>
      <c r="K387" s="25">
        <f t="shared" si="78"/>
        <v>0</v>
      </c>
      <c r="L387" s="25">
        <f t="shared" si="78"/>
        <v>0</v>
      </c>
      <c r="M387" s="25">
        <f t="shared" si="78"/>
        <v>0</v>
      </c>
      <c r="N387" s="25">
        <f t="shared" si="78"/>
        <v>0</v>
      </c>
      <c r="O387" s="25">
        <f t="shared" si="78"/>
        <v>0</v>
      </c>
      <c r="P387" s="25">
        <f t="shared" si="78"/>
        <v>5928400</v>
      </c>
      <c r="R387" s="34"/>
    </row>
    <row r="388" spans="1:18" ht="25.5" x14ac:dyDescent="0.2">
      <c r="A388" s="41" t="s">
        <v>656</v>
      </c>
      <c r="B388" s="8"/>
      <c r="C388" s="7"/>
      <c r="D388" s="15" t="s">
        <v>658</v>
      </c>
      <c r="E388" s="25">
        <f>E389</f>
        <v>5928400</v>
      </c>
      <c r="F388" s="25">
        <f t="shared" si="78"/>
        <v>5928400</v>
      </c>
      <c r="G388" s="25">
        <f t="shared" si="78"/>
        <v>4737700</v>
      </c>
      <c r="H388" s="25">
        <f t="shared" si="78"/>
        <v>110000</v>
      </c>
      <c r="I388" s="25">
        <f t="shared" si="78"/>
        <v>0</v>
      </c>
      <c r="J388" s="25">
        <f t="shared" si="78"/>
        <v>0</v>
      </c>
      <c r="K388" s="25">
        <f t="shared" si="78"/>
        <v>0</v>
      </c>
      <c r="L388" s="25">
        <f t="shared" si="78"/>
        <v>0</v>
      </c>
      <c r="M388" s="25">
        <f t="shared" si="78"/>
        <v>0</v>
      </c>
      <c r="N388" s="25">
        <f t="shared" si="78"/>
        <v>0</v>
      </c>
      <c r="O388" s="25">
        <f t="shared" si="78"/>
        <v>0</v>
      </c>
      <c r="P388" s="25">
        <f t="shared" si="78"/>
        <v>5928400</v>
      </c>
    </row>
    <row r="389" spans="1:18" ht="25.9" customHeight="1" x14ac:dyDescent="0.2">
      <c r="A389" s="41" t="s">
        <v>657</v>
      </c>
      <c r="B389" s="4" t="s">
        <v>201</v>
      </c>
      <c r="C389" s="4" t="s">
        <v>129</v>
      </c>
      <c r="D389" s="14" t="s">
        <v>613</v>
      </c>
      <c r="E389" s="11">
        <f>F389+I389</f>
        <v>5928400</v>
      </c>
      <c r="F389" s="12">
        <f>3794000+366000+100000+1367600+300800</f>
        <v>5928400</v>
      </c>
      <c r="G389" s="12">
        <f>3070100+300000+1367600</f>
        <v>4737700</v>
      </c>
      <c r="H389" s="12">
        <f>78500+31500</f>
        <v>110000</v>
      </c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5928400</v>
      </c>
    </row>
    <row r="390" spans="1:18" ht="15" customHeight="1" x14ac:dyDescent="0.2">
      <c r="A390" s="62">
        <v>3700000</v>
      </c>
      <c r="B390" s="6"/>
      <c r="C390" s="7"/>
      <c r="D390" s="31" t="s">
        <v>85</v>
      </c>
      <c r="E390" s="25">
        <f>E391</f>
        <v>28505400</v>
      </c>
      <c r="F390" s="25">
        <f t="shared" ref="F390:O390" si="79">F391</f>
        <v>25250400</v>
      </c>
      <c r="G390" s="25">
        <f t="shared" si="79"/>
        <v>7380000</v>
      </c>
      <c r="H390" s="25">
        <f t="shared" si="79"/>
        <v>102000</v>
      </c>
      <c r="I390" s="25">
        <f t="shared" si="79"/>
        <v>0</v>
      </c>
      <c r="J390" s="25">
        <f t="shared" si="79"/>
        <v>8102211</v>
      </c>
      <c r="K390" s="25">
        <f>K391</f>
        <v>8102211</v>
      </c>
      <c r="L390" s="25">
        <f t="shared" si="79"/>
        <v>0</v>
      </c>
      <c r="M390" s="25">
        <f t="shared" si="79"/>
        <v>0</v>
      </c>
      <c r="N390" s="25">
        <f t="shared" si="79"/>
        <v>0</v>
      </c>
      <c r="O390" s="25">
        <f t="shared" si="79"/>
        <v>8102211</v>
      </c>
      <c r="P390" s="13">
        <f t="shared" si="75"/>
        <v>36607611</v>
      </c>
      <c r="R390" s="34"/>
    </row>
    <row r="391" spans="1:18" x14ac:dyDescent="0.2">
      <c r="A391" s="41" t="s">
        <v>362</v>
      </c>
      <c r="B391" s="8"/>
      <c r="C391" s="7"/>
      <c r="D391" s="15" t="s">
        <v>85</v>
      </c>
      <c r="E391" s="25">
        <f>E392+E394+E396+E393+E395</f>
        <v>28505400</v>
      </c>
      <c r="F391" s="25">
        <f t="shared" ref="F391:P391" si="80">F392+F394+F396+F393+F395</f>
        <v>25250400</v>
      </c>
      <c r="G391" s="25">
        <f t="shared" si="80"/>
        <v>7380000</v>
      </c>
      <c r="H391" s="25">
        <f t="shared" si="80"/>
        <v>102000</v>
      </c>
      <c r="I391" s="25">
        <f t="shared" si="80"/>
        <v>0</v>
      </c>
      <c r="J391" s="25">
        <f>J392+J394+J396+J393+J395</f>
        <v>8102211</v>
      </c>
      <c r="K391" s="25">
        <f>K392+K394+K396+K393+K395</f>
        <v>8102211</v>
      </c>
      <c r="L391" s="25">
        <f t="shared" si="80"/>
        <v>0</v>
      </c>
      <c r="M391" s="25">
        <f t="shared" si="80"/>
        <v>0</v>
      </c>
      <c r="N391" s="25">
        <f t="shared" si="80"/>
        <v>0</v>
      </c>
      <c r="O391" s="25">
        <f t="shared" si="80"/>
        <v>8102211</v>
      </c>
      <c r="P391" s="25">
        <f t="shared" si="80"/>
        <v>36607611</v>
      </c>
    </row>
    <row r="392" spans="1:18" ht="25.9" customHeight="1" x14ac:dyDescent="0.2">
      <c r="A392" s="41" t="s">
        <v>363</v>
      </c>
      <c r="B392" s="4" t="s">
        <v>201</v>
      </c>
      <c r="C392" s="4" t="s">
        <v>129</v>
      </c>
      <c r="D392" s="14" t="s">
        <v>613</v>
      </c>
      <c r="E392" s="11">
        <f>F392+I392</f>
        <v>9755400</v>
      </c>
      <c r="F392" s="12">
        <f>9555400+200000</f>
        <v>9755400</v>
      </c>
      <c r="G392" s="12">
        <v>7380000</v>
      </c>
      <c r="H392" s="12">
        <f>102000</f>
        <v>102000</v>
      </c>
      <c r="I392" s="12"/>
      <c r="J392" s="11">
        <f>L392+O392</f>
        <v>4636190</v>
      </c>
      <c r="K392" s="12">
        <f>4646190-10000</f>
        <v>4636190</v>
      </c>
      <c r="L392" s="12"/>
      <c r="M392" s="12"/>
      <c r="N392" s="12"/>
      <c r="O392" s="12">
        <f>K392</f>
        <v>4636190</v>
      </c>
      <c r="P392" s="13">
        <f>E392+J392</f>
        <v>14391590</v>
      </c>
    </row>
    <row r="393" spans="1:18" x14ac:dyDescent="0.2">
      <c r="A393" s="41" t="s">
        <v>514</v>
      </c>
      <c r="B393" s="4" t="s">
        <v>41</v>
      </c>
      <c r="C393" s="4" t="s">
        <v>515</v>
      </c>
      <c r="D393" s="47" t="s">
        <v>516</v>
      </c>
      <c r="E393" s="11">
        <f>F393+I393</f>
        <v>14745000</v>
      </c>
      <c r="F393" s="12">
        <v>14745000</v>
      </c>
      <c r="G393" s="12"/>
      <c r="H393" s="12"/>
      <c r="I393" s="12"/>
      <c r="J393" s="11"/>
      <c r="K393" s="12"/>
      <c r="L393" s="12"/>
      <c r="M393" s="12"/>
      <c r="N393" s="12"/>
      <c r="O393" s="12"/>
      <c r="P393" s="13">
        <f>E393+J393</f>
        <v>14745000</v>
      </c>
    </row>
    <row r="394" spans="1:18" x14ac:dyDescent="0.2">
      <c r="A394" s="41" t="s">
        <v>648</v>
      </c>
      <c r="B394" s="8" t="s">
        <v>649</v>
      </c>
      <c r="C394" s="4" t="s">
        <v>142</v>
      </c>
      <c r="D394" s="14" t="s">
        <v>650</v>
      </c>
      <c r="E394" s="13">
        <f>3870000-145000-280000-190000</f>
        <v>3255000</v>
      </c>
      <c r="F394" s="12"/>
      <c r="G394" s="12"/>
      <c r="H394" s="12"/>
      <c r="I394" s="12"/>
      <c r="J394" s="11">
        <f>L394+O394</f>
        <v>0</v>
      </c>
      <c r="K394" s="12"/>
      <c r="L394" s="12"/>
      <c r="M394" s="12"/>
      <c r="N394" s="12"/>
      <c r="O394" s="12">
        <f>K394</f>
        <v>0</v>
      </c>
      <c r="P394" s="13">
        <f>E394+J394</f>
        <v>3255000</v>
      </c>
    </row>
    <row r="395" spans="1:18" x14ac:dyDescent="0.2">
      <c r="A395" s="41" t="s">
        <v>499</v>
      </c>
      <c r="B395" s="8" t="s">
        <v>500</v>
      </c>
      <c r="C395" s="4" t="s">
        <v>489</v>
      </c>
      <c r="D395" s="14" t="s">
        <v>501</v>
      </c>
      <c r="E395" s="25">
        <v>0</v>
      </c>
      <c r="F395" s="12"/>
      <c r="G395" s="12"/>
      <c r="H395" s="12"/>
      <c r="I395" s="12"/>
      <c r="J395" s="11">
        <f>L395+O395</f>
        <v>1746000</v>
      </c>
      <c r="K395" s="12">
        <f>1266000+480000</f>
        <v>1746000</v>
      </c>
      <c r="L395" s="12"/>
      <c r="M395" s="12"/>
      <c r="N395" s="12"/>
      <c r="O395" s="12">
        <f>K395</f>
        <v>1746000</v>
      </c>
      <c r="P395" s="13">
        <f>E395+J395</f>
        <v>1746000</v>
      </c>
    </row>
    <row r="396" spans="1:18" ht="25.5" x14ac:dyDescent="0.2">
      <c r="A396" s="41" t="s">
        <v>490</v>
      </c>
      <c r="B396" s="8" t="s">
        <v>487</v>
      </c>
      <c r="C396" s="4" t="s">
        <v>489</v>
      </c>
      <c r="D396" s="14" t="s">
        <v>488</v>
      </c>
      <c r="E396" s="25">
        <f>F396+I396</f>
        <v>750000</v>
      </c>
      <c r="F396" s="12">
        <f>50000+700000</f>
        <v>750000</v>
      </c>
      <c r="G396" s="12"/>
      <c r="H396" s="12"/>
      <c r="I396" s="12"/>
      <c r="J396" s="11">
        <f>L396+O396</f>
        <v>1720021</v>
      </c>
      <c r="K396" s="12">
        <f>1610621+109400</f>
        <v>1720021</v>
      </c>
      <c r="L396" s="12"/>
      <c r="M396" s="12"/>
      <c r="N396" s="12"/>
      <c r="O396" s="12">
        <f>K396</f>
        <v>1720021</v>
      </c>
      <c r="P396" s="13">
        <f>E396+J396</f>
        <v>2470021</v>
      </c>
    </row>
    <row r="397" spans="1:18" ht="15.75" customHeight="1" x14ac:dyDescent="0.2">
      <c r="A397" s="41"/>
      <c r="B397" s="8"/>
      <c r="C397" s="91"/>
      <c r="D397" s="31" t="s">
        <v>86</v>
      </c>
      <c r="E397" s="25">
        <f t="shared" ref="E397:P397" si="81">E14+E42+E94+E152+E239+E245+E259+E276+E306+E373+E390+E387</f>
        <v>979510869</v>
      </c>
      <c r="F397" s="25">
        <f t="shared" si="81"/>
        <v>976255869</v>
      </c>
      <c r="G397" s="25">
        <f t="shared" si="81"/>
        <v>526027735</v>
      </c>
      <c r="H397" s="25">
        <f t="shared" si="81"/>
        <v>63407254</v>
      </c>
      <c r="I397" s="25">
        <f t="shared" si="81"/>
        <v>0</v>
      </c>
      <c r="J397" s="25">
        <f t="shared" si="81"/>
        <v>402013967</v>
      </c>
      <c r="K397" s="25">
        <f t="shared" si="81"/>
        <v>341124132</v>
      </c>
      <c r="L397" s="25">
        <f t="shared" si="81"/>
        <v>28403258</v>
      </c>
      <c r="M397" s="25">
        <f t="shared" si="81"/>
        <v>3004583</v>
      </c>
      <c r="N397" s="25">
        <f t="shared" si="81"/>
        <v>643250</v>
      </c>
      <c r="O397" s="25">
        <f t="shared" si="81"/>
        <v>373610709</v>
      </c>
      <c r="P397" s="25">
        <f t="shared" si="81"/>
        <v>1381524836</v>
      </c>
      <c r="R397" s="34"/>
    </row>
    <row r="398" spans="1:18" x14ac:dyDescent="0.2">
      <c r="P398" s="34"/>
    </row>
    <row r="399" spans="1:18" ht="19.5" customHeight="1" x14ac:dyDescent="0.2">
      <c r="D399" s="92" t="s">
        <v>601</v>
      </c>
      <c r="E399" s="92"/>
      <c r="F399" s="92"/>
      <c r="G399" s="92"/>
      <c r="H399" s="92"/>
      <c r="I399" s="92"/>
      <c r="J399" s="92"/>
      <c r="K399" s="92"/>
      <c r="O399" s="92" t="s">
        <v>602</v>
      </c>
    </row>
    <row r="400" spans="1:18" ht="25.5" customHeight="1" x14ac:dyDescent="0.25">
      <c r="D400" s="119" t="s">
        <v>608</v>
      </c>
      <c r="E400" s="120"/>
      <c r="O400" s="2" t="s">
        <v>609</v>
      </c>
    </row>
    <row r="401" spans="4:17" ht="13.9" customHeight="1" x14ac:dyDescent="0.2"/>
    <row r="402" spans="4:17" hidden="1" x14ac:dyDescent="0.2">
      <c r="E402" s="93">
        <v>1160067251</v>
      </c>
      <c r="F402" s="93"/>
      <c r="G402" s="93"/>
      <c r="H402" s="93"/>
      <c r="I402" s="93"/>
      <c r="J402" s="93">
        <v>150195837</v>
      </c>
      <c r="K402" s="93">
        <v>90332641</v>
      </c>
      <c r="L402" s="93"/>
      <c r="M402" s="93"/>
      <c r="N402" s="93"/>
      <c r="O402" s="93"/>
      <c r="P402" s="93">
        <v>1310263088</v>
      </c>
      <c r="Q402" s="94" t="s">
        <v>604</v>
      </c>
    </row>
    <row r="403" spans="4:17" hidden="1" x14ac:dyDescent="0.2">
      <c r="E403" s="93">
        <f>E397-E402</f>
        <v>-180556382</v>
      </c>
      <c r="F403" s="93"/>
      <c r="G403" s="93"/>
      <c r="H403" s="93"/>
      <c r="I403" s="93"/>
      <c r="J403" s="93">
        <f>J402-J397</f>
        <v>-251818130</v>
      </c>
      <c r="K403" s="93">
        <f>K402-K397</f>
        <v>-250791491</v>
      </c>
      <c r="L403" s="93"/>
      <c r="M403" s="93"/>
      <c r="N403" s="93"/>
      <c r="O403" s="93"/>
      <c r="P403" s="93">
        <f>P402-P397</f>
        <v>-71261748</v>
      </c>
      <c r="Q403" s="94" t="s">
        <v>605</v>
      </c>
    </row>
    <row r="404" spans="4:17" hidden="1" x14ac:dyDescent="0.2">
      <c r="E404" s="93">
        <v>-180556382</v>
      </c>
      <c r="F404" s="93"/>
      <c r="G404" s="93"/>
      <c r="H404" s="93"/>
      <c r="I404" s="93"/>
      <c r="J404" s="93">
        <v>250440630</v>
      </c>
      <c r="K404" s="93">
        <v>249413991</v>
      </c>
      <c r="L404" s="93"/>
      <c r="M404" s="93"/>
      <c r="N404" s="93"/>
      <c r="O404" s="93"/>
      <c r="P404" s="93">
        <v>69884248</v>
      </c>
      <c r="Q404" s="94" t="s">
        <v>606</v>
      </c>
    </row>
    <row r="405" spans="4:17" hidden="1" x14ac:dyDescent="0.2">
      <c r="E405" s="93">
        <f>E403-E404</f>
        <v>0</v>
      </c>
      <c r="F405" s="93"/>
      <c r="G405" s="93"/>
      <c r="H405" s="93"/>
      <c r="I405" s="93"/>
      <c r="J405" s="93">
        <f>J403+J404</f>
        <v>-1377500</v>
      </c>
      <c r="K405" s="93">
        <f>K403+K404</f>
        <v>-1377500</v>
      </c>
      <c r="L405" s="93"/>
      <c r="M405" s="93"/>
      <c r="N405" s="93"/>
      <c r="O405" s="93"/>
      <c r="P405" s="93">
        <f>P403+P404</f>
        <v>-1377500</v>
      </c>
    </row>
    <row r="406" spans="4:17" hidden="1" x14ac:dyDescent="0.2">
      <c r="E406" s="93">
        <v>0</v>
      </c>
      <c r="F406" s="93"/>
      <c r="G406" s="93"/>
      <c r="H406" s="93"/>
      <c r="I406" s="93"/>
      <c r="J406" s="93">
        <v>-1377500</v>
      </c>
      <c r="K406" s="93">
        <v>-1377500</v>
      </c>
      <c r="L406" s="93"/>
      <c r="M406" s="93"/>
      <c r="N406" s="93"/>
      <c r="O406" s="93"/>
      <c r="P406" s="93">
        <v>-1377500</v>
      </c>
      <c r="Q406" s="2" t="s">
        <v>607</v>
      </c>
    </row>
    <row r="407" spans="4:17" hidden="1" x14ac:dyDescent="0.2">
      <c r="E407" s="93">
        <f>E405+E406</f>
        <v>0</v>
      </c>
      <c r="F407" s="93"/>
      <c r="G407" s="93"/>
      <c r="H407" s="93"/>
      <c r="I407" s="93"/>
      <c r="J407" s="93">
        <f>J405-J406</f>
        <v>0</v>
      </c>
      <c r="K407" s="93">
        <f>K405-K406</f>
        <v>0</v>
      </c>
      <c r="L407" s="93"/>
      <c r="M407" s="93"/>
      <c r="N407" s="93"/>
      <c r="O407" s="93"/>
      <c r="P407" s="93">
        <f>P405-P406</f>
        <v>0</v>
      </c>
    </row>
    <row r="408" spans="4:17" hidden="1" x14ac:dyDescent="0.2"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</row>
    <row r="409" spans="4:17" hidden="1" x14ac:dyDescent="0.2"/>
    <row r="410" spans="4:17" hidden="1" x14ac:dyDescent="0.2">
      <c r="E410" s="2">
        <f>50000/E397*100</f>
        <v>5.1045885842028365E-3</v>
      </c>
    </row>
    <row r="411" spans="4:17" hidden="1" x14ac:dyDescent="0.2">
      <c r="E411" s="2">
        <f>E394/E397*100</f>
        <v>0.33230871683160468</v>
      </c>
    </row>
    <row r="412" spans="4:17" hidden="1" x14ac:dyDescent="0.2">
      <c r="D412" s="95"/>
    </row>
    <row r="413" spans="4:17" hidden="1" x14ac:dyDescent="0.2"/>
  </sheetData>
  <mergeCells count="25">
    <mergeCell ref="D400:E400"/>
    <mergeCell ref="L10:L12"/>
    <mergeCell ref="G11:G12"/>
    <mergeCell ref="H11:H12"/>
    <mergeCell ref="I10:I12"/>
    <mergeCell ref="E10:E12"/>
    <mergeCell ref="F10:F12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J10:J12"/>
    <mergeCell ref="N11:N12"/>
    <mergeCell ref="M11:M12"/>
    <mergeCell ref="M10:N10"/>
  </mergeCells>
  <phoneticPr fontId="13" type="noConversion"/>
  <hyperlinks>
    <hyperlink ref="C36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2021-07-19T07:29:32Z</cp:lastPrinted>
  <dcterms:created xsi:type="dcterms:W3CDTF">2016-02-15T14:53:30Z</dcterms:created>
  <dcterms:modified xsi:type="dcterms:W3CDTF">2021-07-27T07:14:20Z</dcterms:modified>
</cp:coreProperties>
</file>