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проекти\7\5. фінансові питання\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(2)'!$A$1:$P$399</definedName>
  </definedNames>
  <calcPr calcId="162913" fullCalcOnLoad="1"/>
</workbook>
</file>

<file path=xl/calcChain.xml><?xml version="1.0" encoding="utf-8"?>
<calcChain xmlns="http://schemas.openxmlformats.org/spreadsheetml/2006/main">
  <c r="H391" i="8" l="1"/>
  <c r="K391" i="8"/>
  <c r="F391" i="8"/>
  <c r="J314" i="8"/>
  <c r="G74" i="8"/>
  <c r="F74" i="8"/>
  <c r="G57" i="8"/>
  <c r="F57" i="8"/>
  <c r="G53" i="8"/>
  <c r="F53" i="8"/>
  <c r="O314" i="8"/>
  <c r="P314" i="8"/>
  <c r="K314" i="8"/>
  <c r="K356" i="8"/>
  <c r="P330" i="8"/>
  <c r="E393" i="8"/>
  <c r="E314" i="8"/>
  <c r="F314" i="8"/>
  <c r="E330" i="8"/>
  <c r="F335" i="8"/>
  <c r="O278" i="8"/>
  <c r="O277" i="8"/>
  <c r="O275" i="8"/>
  <c r="K315" i="8"/>
  <c r="O315" i="8"/>
  <c r="H315" i="8"/>
  <c r="G315" i="8"/>
  <c r="F315" i="8"/>
  <c r="F305" i="8"/>
  <c r="K268" i="8"/>
  <c r="F268" i="8"/>
  <c r="F32" i="8"/>
  <c r="F41" i="8"/>
  <c r="K17" i="8"/>
  <c r="F17" i="8"/>
  <c r="E17" i="8"/>
  <c r="O17" i="8"/>
  <c r="G154" i="8"/>
  <c r="F154" i="8"/>
  <c r="G17" i="8"/>
  <c r="G16" i="8"/>
  <c r="G14" i="8"/>
  <c r="E391" i="8"/>
  <c r="E390" i="8"/>
  <c r="E389" i="8"/>
  <c r="F273" i="8"/>
  <c r="F266" i="8"/>
  <c r="K254" i="8"/>
  <c r="O254" i="8"/>
  <c r="O246" i="8"/>
  <c r="O244" i="8"/>
  <c r="F110" i="8"/>
  <c r="K110" i="8"/>
  <c r="K104" i="8"/>
  <c r="F104" i="8"/>
  <c r="E104" i="8"/>
  <c r="K368" i="8"/>
  <c r="F334" i="8"/>
  <c r="K351" i="8"/>
  <c r="K343" i="8"/>
  <c r="K342" i="8"/>
  <c r="K305" i="8"/>
  <c r="K322" i="8"/>
  <c r="K360" i="8"/>
  <c r="K337" i="8"/>
  <c r="H388" i="8"/>
  <c r="F388" i="8"/>
  <c r="F387" i="8"/>
  <c r="F386" i="8"/>
  <c r="K153" i="8"/>
  <c r="F27" i="8"/>
  <c r="K148" i="8"/>
  <c r="F121" i="8"/>
  <c r="E335" i="8"/>
  <c r="E74" i="8"/>
  <c r="P74" i="8"/>
  <c r="E53" i="8"/>
  <c r="G388" i="8"/>
  <c r="O313" i="8"/>
  <c r="K313" i="8"/>
  <c r="K334" i="8"/>
  <c r="O334" i="8"/>
  <c r="J334" i="8"/>
  <c r="K401" i="8"/>
  <c r="P401" i="8"/>
  <c r="J401" i="8"/>
  <c r="O343" i="8"/>
  <c r="J343" i="8"/>
  <c r="K329" i="8"/>
  <c r="O337" i="8"/>
  <c r="J337" i="8"/>
  <c r="J241" i="8"/>
  <c r="P241" i="8"/>
  <c r="O242" i="8"/>
  <c r="O239" i="8"/>
  <c r="O238" i="8"/>
  <c r="H254" i="8"/>
  <c r="F139" i="8"/>
  <c r="E121" i="8"/>
  <c r="F233" i="8"/>
  <c r="H215" i="8"/>
  <c r="G215" i="8"/>
  <c r="F215" i="8"/>
  <c r="H212" i="8"/>
  <c r="G212" i="8"/>
  <c r="F212" i="8"/>
  <c r="F234" i="8"/>
  <c r="E234" i="8"/>
  <c r="G226" i="8"/>
  <c r="O391" i="8"/>
  <c r="J391" i="8"/>
  <c r="J390" i="8"/>
  <c r="J389" i="8"/>
  <c r="J396" i="8"/>
  <c r="J402" i="8"/>
  <c r="J404" i="8"/>
  <c r="J406" i="8"/>
  <c r="E268" i="8"/>
  <c r="K74" i="8"/>
  <c r="F25" i="8"/>
  <c r="L31" i="8"/>
  <c r="O356" i="8"/>
  <c r="O305" i="8"/>
  <c r="K317" i="8"/>
  <c r="O317" i="8"/>
  <c r="J317" i="8"/>
  <c r="O331" i="8"/>
  <c r="J331" i="8"/>
  <c r="P331" i="8"/>
  <c r="F91" i="8"/>
  <c r="L51" i="8"/>
  <c r="L42" i="8"/>
  <c r="M51" i="8"/>
  <c r="N51" i="8"/>
  <c r="F50" i="8"/>
  <c r="G50" i="8"/>
  <c r="H50" i="8"/>
  <c r="I50" i="8"/>
  <c r="K50" i="8"/>
  <c r="L50" i="8"/>
  <c r="M50" i="8"/>
  <c r="N50" i="8"/>
  <c r="O91" i="8"/>
  <c r="O92" i="8"/>
  <c r="O50" i="8"/>
  <c r="J91" i="8"/>
  <c r="J92" i="8"/>
  <c r="J50" i="8"/>
  <c r="E91" i="8"/>
  <c r="P91" i="8"/>
  <c r="E92" i="8"/>
  <c r="P92" i="8"/>
  <c r="E273" i="8"/>
  <c r="E272" i="8"/>
  <c r="P272" i="8"/>
  <c r="K274" i="8"/>
  <c r="E110" i="8"/>
  <c r="O360" i="8"/>
  <c r="F371" i="8"/>
  <c r="O369" i="8"/>
  <c r="J371" i="8"/>
  <c r="J369" i="8"/>
  <c r="P369" i="8"/>
  <c r="J370" i="8"/>
  <c r="P370" i="8"/>
  <c r="O15" i="8"/>
  <c r="J38" i="8"/>
  <c r="P38" i="8"/>
  <c r="O37" i="8"/>
  <c r="F138" i="8"/>
  <c r="E138" i="8"/>
  <c r="H314" i="8"/>
  <c r="H305" i="8"/>
  <c r="E371" i="8"/>
  <c r="P371" i="8"/>
  <c r="L314" i="8"/>
  <c r="L305" i="8"/>
  <c r="M314" i="8"/>
  <c r="N314" i="8"/>
  <c r="N305" i="8"/>
  <c r="I314" i="8"/>
  <c r="K277" i="8"/>
  <c r="G274" i="8"/>
  <c r="F274" i="8"/>
  <c r="E274" i="8"/>
  <c r="G271" i="8"/>
  <c r="F271" i="8"/>
  <c r="G268" i="8"/>
  <c r="F130" i="8"/>
  <c r="F133" i="8"/>
  <c r="O74" i="8"/>
  <c r="J74" i="8"/>
  <c r="H74" i="8"/>
  <c r="H57" i="8"/>
  <c r="G277" i="8"/>
  <c r="G275" i="8"/>
  <c r="E278" i="8"/>
  <c r="G314" i="8"/>
  <c r="O322" i="8"/>
  <c r="F254" i="8"/>
  <c r="E254" i="8"/>
  <c r="O289" i="8"/>
  <c r="J289" i="8"/>
  <c r="O116" i="8"/>
  <c r="J116" i="8"/>
  <c r="O120" i="8"/>
  <c r="J120" i="8"/>
  <c r="O128" i="8"/>
  <c r="J128" i="8"/>
  <c r="O137" i="8"/>
  <c r="J137" i="8"/>
  <c r="O144" i="8"/>
  <c r="J144" i="8"/>
  <c r="L39" i="8"/>
  <c r="J39" i="8"/>
  <c r="E116" i="8"/>
  <c r="E120" i="8"/>
  <c r="E128" i="8"/>
  <c r="P128" i="8"/>
  <c r="E137" i="8"/>
  <c r="P137" i="8"/>
  <c r="E143" i="8"/>
  <c r="E146" i="8"/>
  <c r="P146" i="8"/>
  <c r="H271" i="8"/>
  <c r="K271" i="8"/>
  <c r="O271" i="8"/>
  <c r="J271" i="8"/>
  <c r="E271" i="8"/>
  <c r="E270" i="8"/>
  <c r="E241" i="8"/>
  <c r="E57" i="8"/>
  <c r="O368" i="8"/>
  <c r="J368" i="8"/>
  <c r="P368" i="8"/>
  <c r="K247" i="8"/>
  <c r="O247" i="8"/>
  <c r="J247" i="8"/>
  <c r="F247" i="8"/>
  <c r="K353" i="8"/>
  <c r="O353" i="8"/>
  <c r="J353" i="8"/>
  <c r="O329" i="8"/>
  <c r="J329" i="8"/>
  <c r="P329" i="8"/>
  <c r="K57" i="8"/>
  <c r="E289" i="8"/>
  <c r="K256" i="8"/>
  <c r="F256" i="8"/>
  <c r="E256" i="8"/>
  <c r="E154" i="8"/>
  <c r="F260" i="8"/>
  <c r="E260" i="8"/>
  <c r="O70" i="8"/>
  <c r="J70" i="8"/>
  <c r="O71" i="8"/>
  <c r="J71" i="8"/>
  <c r="O73" i="8"/>
  <c r="J73" i="8"/>
  <c r="P73" i="8"/>
  <c r="J72" i="8"/>
  <c r="E73" i="8"/>
  <c r="L37" i="8"/>
  <c r="K316" i="8"/>
  <c r="O316" i="8"/>
  <c r="J316" i="8"/>
  <c r="G260" i="8"/>
  <c r="G259" i="8"/>
  <c r="G258" i="8"/>
  <c r="G247" i="8"/>
  <c r="G246" i="8"/>
  <c r="G244" i="8"/>
  <c r="H17" i="8"/>
  <c r="H16" i="8"/>
  <c r="H14" i="8"/>
  <c r="G387" i="8"/>
  <c r="G386" i="8"/>
  <c r="H387" i="8"/>
  <c r="H386" i="8"/>
  <c r="I387" i="8"/>
  <c r="I386" i="8"/>
  <c r="K387" i="8"/>
  <c r="K386" i="8"/>
  <c r="L387" i="8"/>
  <c r="L386" i="8"/>
  <c r="M387" i="8"/>
  <c r="M386" i="8"/>
  <c r="N387" i="8"/>
  <c r="N386" i="8"/>
  <c r="O388" i="8"/>
  <c r="E388" i="8"/>
  <c r="E387" i="8"/>
  <c r="E386" i="8"/>
  <c r="G51" i="8"/>
  <c r="G42" i="8"/>
  <c r="G396" i="8"/>
  <c r="G85" i="8"/>
  <c r="F85" i="8"/>
  <c r="E85" i="8"/>
  <c r="P85" i="8"/>
  <c r="E81" i="8"/>
  <c r="E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P69" i="8"/>
  <c r="E70" i="8"/>
  <c r="E71" i="8"/>
  <c r="E75" i="8"/>
  <c r="E76" i="8"/>
  <c r="P76" i="8"/>
  <c r="E77" i="8"/>
  <c r="E78" i="8"/>
  <c r="P78" i="8"/>
  <c r="E79" i="8"/>
  <c r="E83" i="8"/>
  <c r="E86" i="8"/>
  <c r="E87" i="8"/>
  <c r="E88" i="8"/>
  <c r="E89" i="8"/>
  <c r="E58" i="8"/>
  <c r="E52" i="8"/>
  <c r="I51" i="8"/>
  <c r="M42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72" i="8"/>
  <c r="E72" i="8"/>
  <c r="P72" i="8"/>
  <c r="G72" i="8"/>
  <c r="G43" i="8"/>
  <c r="G68" i="8"/>
  <c r="O103" i="8"/>
  <c r="J103" i="8"/>
  <c r="O138" i="8"/>
  <c r="J138" i="8"/>
  <c r="L74" i="8"/>
  <c r="F374" i="8"/>
  <c r="F372" i="8"/>
  <c r="H268" i="8"/>
  <c r="H253" i="8"/>
  <c r="F253" i="8"/>
  <c r="E253" i="8"/>
  <c r="H251" i="8"/>
  <c r="F251" i="8"/>
  <c r="E251" i="8"/>
  <c r="H248" i="8"/>
  <c r="H246" i="8"/>
  <c r="H244" i="8"/>
  <c r="F248" i="8"/>
  <c r="E215" i="8"/>
  <c r="H151" i="8"/>
  <c r="H80" i="8"/>
  <c r="F80" i="8"/>
  <c r="E80" i="8"/>
  <c r="P80" i="8"/>
  <c r="H53" i="8"/>
  <c r="H240" i="8"/>
  <c r="H239" i="8"/>
  <c r="H238" i="8"/>
  <c r="F240" i="8"/>
  <c r="F239" i="8"/>
  <c r="F238" i="8"/>
  <c r="H154" i="8"/>
  <c r="H153" i="8"/>
  <c r="G103" i="8"/>
  <c r="G102" i="8"/>
  <c r="G93" i="8"/>
  <c r="F103" i="8"/>
  <c r="F67" i="8"/>
  <c r="E67" i="8"/>
  <c r="E32" i="8"/>
  <c r="P32" i="8"/>
  <c r="L102" i="8"/>
  <c r="L93" i="8"/>
  <c r="M153" i="8"/>
  <c r="M151" i="8"/>
  <c r="N153" i="8"/>
  <c r="L153" i="8"/>
  <c r="K151" i="8"/>
  <c r="F34" i="8"/>
  <c r="E34" i="8"/>
  <c r="E266" i="8"/>
  <c r="P266" i="8"/>
  <c r="F264" i="8"/>
  <c r="F263" i="8"/>
  <c r="E263" i="8"/>
  <c r="O332" i="8"/>
  <c r="J332" i="8"/>
  <c r="J364" i="8"/>
  <c r="O251" i="8"/>
  <c r="J251" i="8"/>
  <c r="P251" i="8"/>
  <c r="E21" i="8"/>
  <c r="E23" i="8"/>
  <c r="E24" i="8"/>
  <c r="P24" i="8"/>
  <c r="L312" i="8"/>
  <c r="M312" i="8"/>
  <c r="N312" i="8"/>
  <c r="O312" i="8"/>
  <c r="K312" i="8"/>
  <c r="J359" i="8"/>
  <c r="P359" i="8"/>
  <c r="J321" i="8"/>
  <c r="P321" i="8"/>
  <c r="O311" i="8"/>
  <c r="K311" i="8"/>
  <c r="F48" i="8"/>
  <c r="E48" i="8"/>
  <c r="K45" i="8"/>
  <c r="O45" i="8"/>
  <c r="J45" i="8"/>
  <c r="E142" i="8"/>
  <c r="P142" i="8"/>
  <c r="E144" i="8"/>
  <c r="E145" i="8"/>
  <c r="E147" i="8"/>
  <c r="P147" i="8"/>
  <c r="F98" i="8"/>
  <c r="O342" i="8"/>
  <c r="J342" i="8"/>
  <c r="E131" i="8"/>
  <c r="P131" i="8"/>
  <c r="O269" i="8"/>
  <c r="J269" i="8"/>
  <c r="P269" i="8"/>
  <c r="O109" i="8"/>
  <c r="J109" i="8"/>
  <c r="J99" i="8"/>
  <c r="P99" i="8"/>
  <c r="K99" i="8"/>
  <c r="O148" i="8"/>
  <c r="J148" i="8"/>
  <c r="K44" i="8"/>
  <c r="O44" i="8"/>
  <c r="M305" i="8"/>
  <c r="O295" i="8"/>
  <c r="J295" i="8"/>
  <c r="P295" i="8"/>
  <c r="E132" i="8"/>
  <c r="E99" i="8"/>
  <c r="F99" i="8"/>
  <c r="O56" i="8"/>
  <c r="J56" i="8"/>
  <c r="E56" i="8"/>
  <c r="P56" i="8"/>
  <c r="E139" i="8"/>
  <c r="O366" i="8"/>
  <c r="J366" i="8"/>
  <c r="P366" i="8"/>
  <c r="G374" i="8"/>
  <c r="G372" i="8"/>
  <c r="G239" i="8"/>
  <c r="G238" i="8"/>
  <c r="O395" i="8"/>
  <c r="J395" i="8"/>
  <c r="E395" i="8"/>
  <c r="O394" i="8"/>
  <c r="J394" i="8"/>
  <c r="P394" i="8"/>
  <c r="O393" i="8"/>
  <c r="E392" i="8"/>
  <c r="P392" i="8"/>
  <c r="N390" i="8"/>
  <c r="N389" i="8"/>
  <c r="M390" i="8"/>
  <c r="M389" i="8"/>
  <c r="L390" i="8"/>
  <c r="L389" i="8"/>
  <c r="I390" i="8"/>
  <c r="I389" i="8"/>
  <c r="H390" i="8"/>
  <c r="H389" i="8"/>
  <c r="H396" i="8"/>
  <c r="G390" i="8"/>
  <c r="G389" i="8"/>
  <c r="J385" i="8"/>
  <c r="E385" i="8"/>
  <c r="E384" i="8"/>
  <c r="P384" i="8"/>
  <c r="O384" i="8"/>
  <c r="N384" i="8"/>
  <c r="M384" i="8"/>
  <c r="M380" i="8"/>
  <c r="M374" i="8"/>
  <c r="M372" i="8"/>
  <c r="L384" i="8"/>
  <c r="K384" i="8"/>
  <c r="K380" i="8"/>
  <c r="K374" i="8"/>
  <c r="K372" i="8"/>
  <c r="I384" i="8"/>
  <c r="I374" i="8"/>
  <c r="I372" i="8"/>
  <c r="H384" i="8"/>
  <c r="H374" i="8"/>
  <c r="H372" i="8"/>
  <c r="O383" i="8"/>
  <c r="J383" i="8"/>
  <c r="P383" i="8"/>
  <c r="O382" i="8"/>
  <c r="J382" i="8"/>
  <c r="P382" i="8"/>
  <c r="O381" i="8"/>
  <c r="E381" i="8"/>
  <c r="N380" i="8"/>
  <c r="L380" i="8"/>
  <c r="L374" i="8"/>
  <c r="L372" i="8"/>
  <c r="I380" i="8"/>
  <c r="H380" i="8"/>
  <c r="E380" i="8"/>
  <c r="O379" i="8"/>
  <c r="J379" i="8"/>
  <c r="E379" i="8"/>
  <c r="P379" i="8"/>
  <c r="O378" i="8"/>
  <c r="J378" i="8"/>
  <c r="O377" i="8"/>
  <c r="E377" i="8"/>
  <c r="O376" i="8"/>
  <c r="J376" i="8"/>
  <c r="E376" i="8"/>
  <c r="O375" i="8"/>
  <c r="J375" i="8"/>
  <c r="P375" i="8"/>
  <c r="E375" i="8"/>
  <c r="K373" i="8"/>
  <c r="O373" i="8"/>
  <c r="J365" i="8"/>
  <c r="E365" i="8"/>
  <c r="E364" i="8"/>
  <c r="P364" i="8"/>
  <c r="J363" i="8"/>
  <c r="E363" i="8"/>
  <c r="O362" i="8"/>
  <c r="J362" i="8"/>
  <c r="E362" i="8"/>
  <c r="P362" i="8"/>
  <c r="O361" i="8"/>
  <c r="J361" i="8"/>
  <c r="E361" i="8"/>
  <c r="E360" i="8"/>
  <c r="O358" i="8"/>
  <c r="J358" i="8"/>
  <c r="E358" i="8"/>
  <c r="O357" i="8"/>
  <c r="J357" i="8"/>
  <c r="P357" i="8"/>
  <c r="E356" i="8"/>
  <c r="O355" i="8"/>
  <c r="J355" i="8"/>
  <c r="P355" i="8"/>
  <c r="E355" i="8"/>
  <c r="O354" i="8"/>
  <c r="J354" i="8"/>
  <c r="E354" i="8"/>
  <c r="P354" i="8"/>
  <c r="E353" i="8"/>
  <c r="P353" i="8"/>
  <c r="O352" i="8"/>
  <c r="J352" i="8"/>
  <c r="E352" i="8"/>
  <c r="P352" i="8"/>
  <c r="E351" i="8"/>
  <c r="O350" i="8"/>
  <c r="J350" i="8"/>
  <c r="J308" i="8"/>
  <c r="P308" i="8"/>
  <c r="O349" i="8"/>
  <c r="J349" i="8"/>
  <c r="E349" i="8"/>
  <c r="P349" i="8"/>
  <c r="E348" i="8"/>
  <c r="P348" i="8"/>
  <c r="O347" i="8"/>
  <c r="J347" i="8"/>
  <c r="E347" i="8"/>
  <c r="N346" i="8"/>
  <c r="M346" i="8"/>
  <c r="M325" i="8"/>
  <c r="M344" i="8"/>
  <c r="M338" i="8"/>
  <c r="L346" i="8"/>
  <c r="I346" i="8"/>
  <c r="H346" i="8"/>
  <c r="G346" i="8"/>
  <c r="F346" i="8"/>
  <c r="O345" i="8"/>
  <c r="J345" i="8"/>
  <c r="E345" i="8"/>
  <c r="N344" i="8"/>
  <c r="L344" i="8"/>
  <c r="I344" i="8"/>
  <c r="H344" i="8"/>
  <c r="G344" i="8"/>
  <c r="F344" i="8"/>
  <c r="E343" i="8"/>
  <c r="P343" i="8"/>
  <c r="E342" i="8"/>
  <c r="P342" i="8"/>
  <c r="O341" i="8"/>
  <c r="J341" i="8"/>
  <c r="E341" i="8"/>
  <c r="P341" i="8"/>
  <c r="O340" i="8"/>
  <c r="J340" i="8"/>
  <c r="P340" i="8"/>
  <c r="O339" i="8"/>
  <c r="O338" i="8"/>
  <c r="N338" i="8"/>
  <c r="L338" i="8"/>
  <c r="J338" i="8"/>
  <c r="E338" i="8"/>
  <c r="P338" i="8"/>
  <c r="E337" i="8"/>
  <c r="O335" i="8"/>
  <c r="J335" i="8"/>
  <c r="P335" i="8"/>
  <c r="O319" i="8"/>
  <c r="J319" i="8"/>
  <c r="O320" i="8"/>
  <c r="J320" i="8"/>
  <c r="J322" i="8"/>
  <c r="O324" i="8"/>
  <c r="J324" i="8"/>
  <c r="L325" i="8"/>
  <c r="O325" i="8"/>
  <c r="J325" i="8"/>
  <c r="O327" i="8"/>
  <c r="J327" i="8"/>
  <c r="O328" i="8"/>
  <c r="J328" i="8"/>
  <c r="P328" i="8"/>
  <c r="E334" i="8"/>
  <c r="E327" i="8"/>
  <c r="O326" i="8"/>
  <c r="J326" i="8"/>
  <c r="E326" i="8"/>
  <c r="N325" i="8"/>
  <c r="I325" i="8"/>
  <c r="H325" i="8"/>
  <c r="G325" i="8"/>
  <c r="G305" i="8"/>
  <c r="F325" i="8"/>
  <c r="E325" i="8"/>
  <c r="E324" i="8"/>
  <c r="P324" i="8"/>
  <c r="O323" i="8"/>
  <c r="J323" i="8"/>
  <c r="P323" i="8"/>
  <c r="E322" i="8"/>
  <c r="E320" i="8"/>
  <c r="P320" i="8"/>
  <c r="E319" i="8"/>
  <c r="P319" i="8"/>
  <c r="O318" i="8"/>
  <c r="O309" i="8"/>
  <c r="J309" i="8"/>
  <c r="P309" i="8"/>
  <c r="E317" i="8"/>
  <c r="E316" i="8"/>
  <c r="P316" i="8"/>
  <c r="O233" i="8"/>
  <c r="J233" i="8"/>
  <c r="K236" i="8"/>
  <c r="O228" i="8"/>
  <c r="J228" i="8"/>
  <c r="K239" i="8"/>
  <c r="K238" i="8"/>
  <c r="K262" i="8"/>
  <c r="O262" i="8"/>
  <c r="J262" i="8"/>
  <c r="K265" i="8"/>
  <c r="O265" i="8"/>
  <c r="J265" i="8"/>
  <c r="P265" i="8"/>
  <c r="E313" i="8"/>
  <c r="N310" i="8"/>
  <c r="M310" i="8"/>
  <c r="L310" i="8"/>
  <c r="K310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P304" i="8"/>
  <c r="J303" i="8"/>
  <c r="E303" i="8"/>
  <c r="E368" i="8"/>
  <c r="O302" i="8"/>
  <c r="J302" i="8"/>
  <c r="P302" i="8"/>
  <c r="O301" i="8"/>
  <c r="J301" i="8"/>
  <c r="P301" i="8"/>
  <c r="O367" i="8"/>
  <c r="J367" i="8"/>
  <c r="P367" i="8"/>
  <c r="O300" i="8"/>
  <c r="J300" i="8"/>
  <c r="E300" i="8"/>
  <c r="P300" i="8"/>
  <c r="E299" i="8"/>
  <c r="P299" i="8"/>
  <c r="O298" i="8"/>
  <c r="J298" i="8"/>
  <c r="P298" i="8"/>
  <c r="E298" i="8"/>
  <c r="O297" i="8"/>
  <c r="J297" i="8"/>
  <c r="O296" i="8"/>
  <c r="J296" i="8"/>
  <c r="O279" i="8"/>
  <c r="J279" i="8"/>
  <c r="P279" i="8"/>
  <c r="O280" i="8"/>
  <c r="J280" i="8"/>
  <c r="O290" i="8"/>
  <c r="J290" i="8"/>
  <c r="O336" i="8"/>
  <c r="J336" i="8"/>
  <c r="O286" i="8"/>
  <c r="J286" i="8"/>
  <c r="O293" i="8"/>
  <c r="J293" i="8"/>
  <c r="P293" i="8"/>
  <c r="O292" i="8"/>
  <c r="J292" i="8"/>
  <c r="O288" i="8"/>
  <c r="J288" i="8"/>
  <c r="O281" i="8"/>
  <c r="J281" i="8"/>
  <c r="P281" i="8"/>
  <c r="N296" i="8"/>
  <c r="I296" i="8"/>
  <c r="E336" i="8"/>
  <c r="P336" i="8"/>
  <c r="O294" i="8"/>
  <c r="J294" i="8"/>
  <c r="E294" i="8"/>
  <c r="N293" i="8"/>
  <c r="N277" i="8"/>
  <c r="N275" i="8"/>
  <c r="N396" i="8"/>
  <c r="I293" i="8"/>
  <c r="E293" i="8"/>
  <c r="E292" i="8"/>
  <c r="E291" i="8"/>
  <c r="P291" i="8"/>
  <c r="E290" i="8"/>
  <c r="P290" i="8"/>
  <c r="E288" i="8"/>
  <c r="P288" i="8"/>
  <c r="O287" i="8"/>
  <c r="J287" i="8"/>
  <c r="E287" i="8"/>
  <c r="E286" i="8"/>
  <c r="P286" i="8"/>
  <c r="E332" i="8"/>
  <c r="O285" i="8"/>
  <c r="J285" i="8"/>
  <c r="E285" i="8"/>
  <c r="O284" i="8"/>
  <c r="J284" i="8"/>
  <c r="P284" i="8"/>
  <c r="E284" i="8"/>
  <c r="O283" i="8"/>
  <c r="J283" i="8"/>
  <c r="E283" i="8"/>
  <c r="O282" i="8"/>
  <c r="J282" i="8"/>
  <c r="P282" i="8"/>
  <c r="E281" i="8"/>
  <c r="N280" i="8"/>
  <c r="M277" i="8"/>
  <c r="M275" i="8"/>
  <c r="M396" i="8"/>
  <c r="L277" i="8"/>
  <c r="L275" i="8"/>
  <c r="L396" i="8"/>
  <c r="I280" i="8"/>
  <c r="E280" i="8"/>
  <c r="P280" i="8"/>
  <c r="E279" i="8"/>
  <c r="H277" i="8"/>
  <c r="H275" i="8"/>
  <c r="K276" i="8"/>
  <c r="F276" i="8"/>
  <c r="E276" i="8"/>
  <c r="P276" i="8"/>
  <c r="O274" i="8"/>
  <c r="J274" i="8"/>
  <c r="O273" i="8"/>
  <c r="J273" i="8"/>
  <c r="I272" i="8"/>
  <c r="O270" i="8"/>
  <c r="J270" i="8"/>
  <c r="I270" i="8"/>
  <c r="N267" i="8"/>
  <c r="M267" i="8"/>
  <c r="M262" i="8"/>
  <c r="M265" i="8"/>
  <c r="L267" i="8"/>
  <c r="I267" i="8"/>
  <c r="E267" i="8"/>
  <c r="O266" i="8"/>
  <c r="J266" i="8"/>
  <c r="N265" i="8"/>
  <c r="L265" i="8"/>
  <c r="I265" i="8"/>
  <c r="E265" i="8"/>
  <c r="O264" i="8"/>
  <c r="J264" i="8"/>
  <c r="E264" i="8"/>
  <c r="O263" i="8"/>
  <c r="J263" i="8"/>
  <c r="N262" i="8"/>
  <c r="N259" i="8"/>
  <c r="N258" i="8"/>
  <c r="L262" i="8"/>
  <c r="I262" i="8"/>
  <c r="E262" i="8"/>
  <c r="O250" i="8"/>
  <c r="J250" i="8"/>
  <c r="E250" i="8"/>
  <c r="O261" i="8"/>
  <c r="J261" i="8"/>
  <c r="E261" i="8"/>
  <c r="P261" i="8"/>
  <c r="O260" i="8"/>
  <c r="J260" i="8"/>
  <c r="P260" i="8"/>
  <c r="I259" i="8"/>
  <c r="I258" i="8"/>
  <c r="O257" i="8"/>
  <c r="J257" i="8"/>
  <c r="P257" i="8"/>
  <c r="E257" i="8"/>
  <c r="O256" i="8"/>
  <c r="J256" i="8"/>
  <c r="P256" i="8"/>
  <c r="O255" i="8"/>
  <c r="J255" i="8"/>
  <c r="I255" i="8"/>
  <c r="I246" i="8"/>
  <c r="I244" i="8"/>
  <c r="O253" i="8"/>
  <c r="J253" i="8"/>
  <c r="P253" i="8"/>
  <c r="O249" i="8"/>
  <c r="O245" i="8"/>
  <c r="O248" i="8"/>
  <c r="J248" i="8"/>
  <c r="P248" i="8"/>
  <c r="N246" i="8"/>
  <c r="N244" i="8"/>
  <c r="M246" i="8"/>
  <c r="M244" i="8"/>
  <c r="L246" i="8"/>
  <c r="L244" i="8"/>
  <c r="N245" i="8"/>
  <c r="M245" i="8"/>
  <c r="L245" i="8"/>
  <c r="K245" i="8"/>
  <c r="E243" i="8"/>
  <c r="P243" i="8"/>
  <c r="N242" i="8"/>
  <c r="N239" i="8"/>
  <c r="N238" i="8"/>
  <c r="N128" i="8"/>
  <c r="N143" i="8"/>
  <c r="M242" i="8"/>
  <c r="M239" i="8"/>
  <c r="M238" i="8"/>
  <c r="M102" i="8"/>
  <c r="M93" i="8"/>
  <c r="L242" i="8"/>
  <c r="J242" i="8"/>
  <c r="L239" i="8"/>
  <c r="L238" i="8"/>
  <c r="I242" i="8"/>
  <c r="I102" i="8"/>
  <c r="I93" i="8"/>
  <c r="O241" i="8"/>
  <c r="O240" i="8"/>
  <c r="J240" i="8"/>
  <c r="J237" i="8"/>
  <c r="J236" i="8"/>
  <c r="E237" i="8"/>
  <c r="O236" i="8"/>
  <c r="N236" i="8"/>
  <c r="M236" i="8"/>
  <c r="L236" i="8"/>
  <c r="I236" i="8"/>
  <c r="E235" i="8"/>
  <c r="P235" i="8"/>
  <c r="O234" i="8"/>
  <c r="J234" i="8"/>
  <c r="P234" i="8"/>
  <c r="E233" i="8"/>
  <c r="E232" i="8"/>
  <c r="P232" i="8"/>
  <c r="E231" i="8"/>
  <c r="P231" i="8"/>
  <c r="O230" i="8"/>
  <c r="J230" i="8"/>
  <c r="P230" i="8"/>
  <c r="E230" i="8"/>
  <c r="E229" i="8"/>
  <c r="E228" i="8"/>
  <c r="J227" i="8"/>
  <c r="E227" i="8"/>
  <c r="P227" i="8"/>
  <c r="J226" i="8"/>
  <c r="P226" i="8"/>
  <c r="E226" i="8"/>
  <c r="O225" i="8"/>
  <c r="O224" i="8"/>
  <c r="E225" i="8"/>
  <c r="E224" i="8"/>
  <c r="I224" i="8"/>
  <c r="J223" i="8"/>
  <c r="E223" i="8"/>
  <c r="P223" i="8"/>
  <c r="O222" i="8"/>
  <c r="J222" i="8"/>
  <c r="I222" i="8"/>
  <c r="P221" i="8"/>
  <c r="J220" i="8"/>
  <c r="E220" i="8"/>
  <c r="P220" i="8"/>
  <c r="J219" i="8"/>
  <c r="E219" i="8"/>
  <c r="J218" i="8"/>
  <c r="E218" i="8"/>
  <c r="P218" i="8"/>
  <c r="O217" i="8"/>
  <c r="J217" i="8"/>
  <c r="I217" i="8"/>
  <c r="E217" i="8"/>
  <c r="P217" i="8"/>
  <c r="J216" i="8"/>
  <c r="E216" i="8"/>
  <c r="P216" i="8"/>
  <c r="O215" i="8"/>
  <c r="E214" i="8"/>
  <c r="O213" i="8"/>
  <c r="J213" i="8"/>
  <c r="E213" i="8"/>
  <c r="O212" i="8"/>
  <c r="J212" i="8"/>
  <c r="E211" i="8"/>
  <c r="P211" i="8"/>
  <c r="E210" i="8"/>
  <c r="P210" i="8"/>
  <c r="I209" i="8"/>
  <c r="E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8" i="8"/>
  <c r="P198" i="8"/>
  <c r="E197" i="8"/>
  <c r="P197" i="8"/>
  <c r="J196" i="8"/>
  <c r="E196" i="8"/>
  <c r="P196" i="8"/>
  <c r="J195" i="8"/>
  <c r="J194" i="8"/>
  <c r="E194" i="8"/>
  <c r="J193" i="8"/>
  <c r="J192" i="8"/>
  <c r="E192" i="8"/>
  <c r="J191" i="8"/>
  <c r="E191" i="8"/>
  <c r="P191" i="8"/>
  <c r="J190" i="8"/>
  <c r="E190" i="8"/>
  <c r="P190" i="8"/>
  <c r="J189" i="8"/>
  <c r="E189" i="8"/>
  <c r="P189" i="8"/>
  <c r="J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P183" i="8"/>
  <c r="J182" i="8"/>
  <c r="E182" i="8"/>
  <c r="J181" i="8"/>
  <c r="E181" i="8"/>
  <c r="J180" i="8"/>
  <c r="E180" i="8"/>
  <c r="P180" i="8"/>
  <c r="J179" i="8"/>
  <c r="E179" i="8"/>
  <c r="P179" i="8"/>
  <c r="J178" i="8"/>
  <c r="E178" i="8"/>
  <c r="J177" i="8"/>
  <c r="E177" i="8"/>
  <c r="P177" i="8"/>
  <c r="O176" i="8"/>
  <c r="J176" i="8"/>
  <c r="I176" i="8"/>
  <c r="E176" i="8"/>
  <c r="J175" i="8"/>
  <c r="E175" i="8"/>
  <c r="J174" i="8"/>
  <c r="E174" i="8"/>
  <c r="J173" i="8"/>
  <c r="E173" i="8"/>
  <c r="P173" i="8"/>
  <c r="J172" i="8"/>
  <c r="E172" i="8"/>
  <c r="E171" i="8"/>
  <c r="O171" i="8"/>
  <c r="I171" i="8"/>
  <c r="O170" i="8"/>
  <c r="J170" i="8"/>
  <c r="I170" i="8"/>
  <c r="E170" i="8"/>
  <c r="P170" i="8"/>
  <c r="J169" i="8"/>
  <c r="P169" i="8"/>
  <c r="E169" i="8"/>
  <c r="J168" i="8"/>
  <c r="E168" i="8"/>
  <c r="J167" i="8"/>
  <c r="P167" i="8"/>
  <c r="E167" i="8"/>
  <c r="J166" i="8"/>
  <c r="E166" i="8"/>
  <c r="J165" i="8"/>
  <c r="E165" i="8"/>
  <c r="J164" i="8"/>
  <c r="P164" i="8"/>
  <c r="E164" i="8"/>
  <c r="J163" i="8"/>
  <c r="E163" i="8"/>
  <c r="O162" i="8"/>
  <c r="J162" i="8"/>
  <c r="I162" i="8"/>
  <c r="E162" i="8"/>
  <c r="P162" i="8"/>
  <c r="J161" i="8"/>
  <c r="P161" i="8"/>
  <c r="E161" i="8"/>
  <c r="J160" i="8"/>
  <c r="E160" i="8"/>
  <c r="P160" i="8"/>
  <c r="J159" i="8"/>
  <c r="E159" i="8"/>
  <c r="P159" i="8"/>
  <c r="J158" i="8"/>
  <c r="E158" i="8"/>
  <c r="P158" i="8"/>
  <c r="J157" i="8"/>
  <c r="E157" i="8"/>
  <c r="J156" i="8"/>
  <c r="E156" i="8"/>
  <c r="P156" i="8"/>
  <c r="O155" i="8"/>
  <c r="I155" i="8"/>
  <c r="E155" i="8"/>
  <c r="P155" i="8"/>
  <c r="O154" i="8"/>
  <c r="J154" i="8"/>
  <c r="J153" i="8"/>
  <c r="G153" i="8"/>
  <c r="G151" i="8"/>
  <c r="F152" i="8"/>
  <c r="O150" i="8"/>
  <c r="J150" i="8"/>
  <c r="P150" i="8"/>
  <c r="E150" i="8"/>
  <c r="O149" i="8"/>
  <c r="J149" i="8"/>
  <c r="P149" i="8"/>
  <c r="E149" i="8"/>
  <c r="E148" i="8"/>
  <c r="O145" i="8"/>
  <c r="E96" i="8"/>
  <c r="O141" i="8"/>
  <c r="J141" i="8"/>
  <c r="E141" i="8"/>
  <c r="P141" i="8"/>
  <c r="O140" i="8"/>
  <c r="J140" i="8"/>
  <c r="E140" i="8"/>
  <c r="O139" i="8"/>
  <c r="J139" i="8"/>
  <c r="P136" i="8"/>
  <c r="E135" i="8"/>
  <c r="P135" i="8"/>
  <c r="O134" i="8"/>
  <c r="J134" i="8"/>
  <c r="P134" i="8"/>
  <c r="E134" i="8"/>
  <c r="O130" i="8"/>
  <c r="J130" i="8"/>
  <c r="O129" i="8"/>
  <c r="J129" i="8"/>
  <c r="E129" i="8"/>
  <c r="O127" i="8"/>
  <c r="J127" i="8"/>
  <c r="E127" i="8"/>
  <c r="O126" i="8"/>
  <c r="J126" i="8"/>
  <c r="E126" i="8"/>
  <c r="P126" i="8"/>
  <c r="O125" i="8"/>
  <c r="J125" i="8"/>
  <c r="P125" i="8"/>
  <c r="E125" i="8"/>
  <c r="O124" i="8"/>
  <c r="J124" i="8"/>
  <c r="E124" i="8"/>
  <c r="O123" i="8"/>
  <c r="J123" i="8"/>
  <c r="E123" i="8"/>
  <c r="O122" i="8"/>
  <c r="J122" i="8"/>
  <c r="E122" i="8"/>
  <c r="O121" i="8"/>
  <c r="J121" i="8"/>
  <c r="N120" i="8"/>
  <c r="N102" i="8"/>
  <c r="N93" i="8"/>
  <c r="E119" i="8"/>
  <c r="P119" i="8"/>
  <c r="O118" i="8"/>
  <c r="J118" i="8"/>
  <c r="E118" i="8"/>
  <c r="O117" i="8"/>
  <c r="J117" i="8"/>
  <c r="E117" i="8"/>
  <c r="P117" i="8"/>
  <c r="E115" i="8"/>
  <c r="P115" i="8"/>
  <c r="O114" i="8"/>
  <c r="J114" i="8"/>
  <c r="P114" i="8"/>
  <c r="O113" i="8"/>
  <c r="J113" i="8"/>
  <c r="P113" i="8"/>
  <c r="E113" i="8"/>
  <c r="O112" i="8"/>
  <c r="J112" i="8"/>
  <c r="E112" i="8"/>
  <c r="O111" i="8"/>
  <c r="J111" i="8"/>
  <c r="E111" i="8"/>
  <c r="P111" i="8"/>
  <c r="O110" i="8"/>
  <c r="J110" i="8"/>
  <c r="P110" i="8"/>
  <c r="E109" i="8"/>
  <c r="O108" i="8"/>
  <c r="J108" i="8"/>
  <c r="P108" i="8"/>
  <c r="E108" i="8"/>
  <c r="O107" i="8"/>
  <c r="J107" i="8"/>
  <c r="P107" i="8"/>
  <c r="O106" i="8"/>
  <c r="J106" i="8"/>
  <c r="E106" i="8"/>
  <c r="O105" i="8"/>
  <c r="J105" i="8"/>
  <c r="E105" i="8"/>
  <c r="H102" i="8"/>
  <c r="H93" i="8"/>
  <c r="K101" i="8"/>
  <c r="O101" i="8"/>
  <c r="J101" i="8"/>
  <c r="P101" i="8"/>
  <c r="J100" i="8"/>
  <c r="E98" i="8"/>
  <c r="P98" i="8"/>
  <c r="K97" i="8"/>
  <c r="J97" i="8"/>
  <c r="I97" i="8"/>
  <c r="H97" i="8"/>
  <c r="G97" i="8"/>
  <c r="F97" i="8"/>
  <c r="K96" i="8"/>
  <c r="K95" i="8"/>
  <c r="O95" i="8"/>
  <c r="J95" i="8"/>
  <c r="F95" i="8"/>
  <c r="E95" i="8"/>
  <c r="P95" i="8"/>
  <c r="N94" i="8"/>
  <c r="M94" i="8"/>
  <c r="L94" i="8"/>
  <c r="K94" i="8"/>
  <c r="I94" i="8"/>
  <c r="H94" i="8"/>
  <c r="G94" i="8"/>
  <c r="F94" i="8"/>
  <c r="E94" i="8"/>
  <c r="O89" i="8"/>
  <c r="O88" i="8"/>
  <c r="J88" i="8"/>
  <c r="P88" i="8"/>
  <c r="O87" i="8"/>
  <c r="J87" i="8"/>
  <c r="P87" i="8"/>
  <c r="O86" i="8"/>
  <c r="J86" i="8"/>
  <c r="O83" i="8"/>
  <c r="J83" i="8"/>
  <c r="P83" i="8"/>
  <c r="O80" i="8"/>
  <c r="J80" i="8"/>
  <c r="O79" i="8"/>
  <c r="J79" i="8"/>
  <c r="O78" i="8"/>
  <c r="J78" i="8"/>
  <c r="O77" i="8"/>
  <c r="J77" i="8"/>
  <c r="O76" i="8"/>
  <c r="J76" i="8"/>
  <c r="O75" i="8"/>
  <c r="J75" i="8"/>
  <c r="P75" i="8"/>
  <c r="O69" i="8"/>
  <c r="J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P53" i="8"/>
  <c r="O52" i="8"/>
  <c r="J52" i="8"/>
  <c r="P52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P41" i="8"/>
  <c r="E41" i="8"/>
  <c r="E40" i="8"/>
  <c r="E39" i="8"/>
  <c r="P39" i="8"/>
  <c r="O36" i="8"/>
  <c r="J36" i="8"/>
  <c r="P36" i="8"/>
  <c r="O35" i="8"/>
  <c r="J35" i="8"/>
  <c r="E35" i="8"/>
  <c r="P35" i="8"/>
  <c r="O34" i="8"/>
  <c r="J34" i="8"/>
  <c r="P34" i="8"/>
  <c r="O33" i="8"/>
  <c r="J33" i="8"/>
  <c r="P33" i="8"/>
  <c r="E33" i="8"/>
  <c r="O32" i="8"/>
  <c r="J32" i="8"/>
  <c r="J31" i="8"/>
  <c r="J16" i="8"/>
  <c r="J14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7" i="8"/>
  <c r="P26" i="8"/>
  <c r="P15" i="8"/>
  <c r="O25" i="8"/>
  <c r="J25" i="8"/>
  <c r="E25" i="8"/>
  <c r="O23" i="8"/>
  <c r="J23" i="8"/>
  <c r="J22" i="8"/>
  <c r="E22" i="8"/>
  <c r="P22" i="8"/>
  <c r="O21" i="8"/>
  <c r="O20" i="8"/>
  <c r="J20" i="8"/>
  <c r="I16" i="8"/>
  <c r="I14" i="8"/>
  <c r="E20" i="8"/>
  <c r="J19" i="8"/>
  <c r="E19" i="8"/>
  <c r="P19" i="8"/>
  <c r="J18" i="8"/>
  <c r="E18" i="8"/>
  <c r="P18" i="8"/>
  <c r="F15" i="8"/>
  <c r="E15" i="8"/>
  <c r="F390" i="8"/>
  <c r="F389" i="8"/>
  <c r="F396" i="8"/>
  <c r="E193" i="8"/>
  <c r="P193" i="8"/>
  <c r="E199" i="8"/>
  <c r="P199" i="8"/>
  <c r="E195" i="8"/>
  <c r="P195" i="8"/>
  <c r="J313" i="8"/>
  <c r="P313" i="8"/>
  <c r="M16" i="8"/>
  <c r="M14" i="8"/>
  <c r="O229" i="8"/>
  <c r="J229" i="8"/>
  <c r="P229" i="8"/>
  <c r="N16" i="8"/>
  <c r="N14" i="8"/>
  <c r="O22" i="8"/>
  <c r="N151" i="8"/>
  <c r="L151" i="8"/>
  <c r="P132" i="8"/>
  <c r="E240" i="8"/>
  <c r="E296" i="8"/>
  <c r="P296" i="8"/>
  <c r="E248" i="8"/>
  <c r="E59" i="8"/>
  <c r="E103" i="8"/>
  <c r="G66" i="8"/>
  <c r="F66" i="8"/>
  <c r="F43" i="8"/>
  <c r="E43" i="8"/>
  <c r="P43" i="8"/>
  <c r="E66" i="8"/>
  <c r="P66" i="8"/>
  <c r="J90" i="8"/>
  <c r="J49" i="8"/>
  <c r="P303" i="8"/>
  <c r="E152" i="8"/>
  <c r="P152" i="8"/>
  <c r="J311" i="8"/>
  <c r="P311" i="8"/>
  <c r="I277" i="8"/>
  <c r="I275" i="8"/>
  <c r="I396" i="8"/>
  <c r="E255" i="8"/>
  <c r="J381" i="8"/>
  <c r="P381" i="8"/>
  <c r="J393" i="8"/>
  <c r="P181" i="8"/>
  <c r="O308" i="8"/>
  <c r="I305" i="8"/>
  <c r="O348" i="8"/>
  <c r="J348" i="8"/>
  <c r="K390" i="8"/>
  <c r="K389" i="8"/>
  <c r="K396" i="8"/>
  <c r="K402" i="8"/>
  <c r="K404" i="8"/>
  <c r="K406" i="8"/>
  <c r="K275" i="8"/>
  <c r="O351" i="8"/>
  <c r="J351" i="8"/>
  <c r="P351" i="8"/>
  <c r="O346" i="8"/>
  <c r="J346" i="8"/>
  <c r="O209" i="8"/>
  <c r="J209" i="8"/>
  <c r="P209" i="8"/>
  <c r="O276" i="8"/>
  <c r="J276" i="8"/>
  <c r="J377" i="8"/>
  <c r="P377" i="8"/>
  <c r="O380" i="8"/>
  <c r="P240" i="8"/>
  <c r="J249" i="8"/>
  <c r="P249" i="8"/>
  <c r="P245" i="8"/>
  <c r="J373" i="8"/>
  <c r="P373" i="8"/>
  <c r="P378" i="8"/>
  <c r="N374" i="8"/>
  <c r="N372" i="8"/>
  <c r="K16" i="8"/>
  <c r="K14" i="8"/>
  <c r="E133" i="8"/>
  <c r="P133" i="8"/>
  <c r="F100" i="8"/>
  <c r="E100" i="8"/>
  <c r="P100" i="8"/>
  <c r="E90" i="8"/>
  <c r="P90" i="8"/>
  <c r="O90" i="8"/>
  <c r="K49" i="8"/>
  <c r="O49" i="8"/>
  <c r="L16" i="8"/>
  <c r="L14" i="8"/>
  <c r="J37" i="8"/>
  <c r="P37" i="8"/>
  <c r="J44" i="8"/>
  <c r="P228" i="8"/>
  <c r="K246" i="8"/>
  <c r="K244" i="8"/>
  <c r="P283" i="8"/>
  <c r="P185" i="8"/>
  <c r="P213" i="8"/>
  <c r="P219" i="8"/>
  <c r="M259" i="8"/>
  <c r="M258" i="8"/>
  <c r="F259" i="8"/>
  <c r="F258" i="8"/>
  <c r="P194" i="8"/>
  <c r="P332" i="8"/>
  <c r="O48" i="8"/>
  <c r="J48" i="8"/>
  <c r="P48" i="8"/>
  <c r="J62" i="8"/>
  <c r="O214" i="8"/>
  <c r="J214" i="8"/>
  <c r="P214" i="8"/>
  <c r="J215" i="8"/>
  <c r="E242" i="8"/>
  <c r="I239" i="8"/>
  <c r="I238" i="8"/>
  <c r="L259" i="8"/>
  <c r="L258" i="8"/>
  <c r="O97" i="8"/>
  <c r="O96" i="8"/>
  <c r="J96" i="8"/>
  <c r="P96" i="8"/>
  <c r="J145" i="8"/>
  <c r="P145" i="8"/>
  <c r="P172" i="8"/>
  <c r="P376" i="8"/>
  <c r="F277" i="8"/>
  <c r="F275" i="8"/>
  <c r="E297" i="8"/>
  <c r="P297" i="8"/>
  <c r="E212" i="8"/>
  <c r="P212" i="8"/>
  <c r="F153" i="8"/>
  <c r="F151" i="8"/>
  <c r="O387" i="8"/>
  <c r="O386" i="8"/>
  <c r="J388" i="8"/>
  <c r="J387" i="8"/>
  <c r="J386" i="8"/>
  <c r="O390" i="8"/>
  <c r="O389" i="8"/>
  <c r="O396" i="8"/>
  <c r="J310" i="8"/>
  <c r="P310" i="8"/>
  <c r="J380" i="8"/>
  <c r="P380" i="8"/>
  <c r="F102" i="8"/>
  <c r="F93" i="8"/>
  <c r="P215" i="8"/>
  <c r="P255" i="8"/>
  <c r="P166" i="8"/>
  <c r="P178" i="8"/>
  <c r="P182" i="8"/>
  <c r="P192" i="8"/>
  <c r="P285" i="8"/>
  <c r="P363" i="8"/>
  <c r="P271" i="8"/>
  <c r="I153" i="8"/>
  <c r="E222" i="8"/>
  <c r="P222" i="8"/>
  <c r="E236" i="8"/>
  <c r="P236" i="8"/>
  <c r="P237" i="8"/>
  <c r="O307" i="8"/>
  <c r="J339" i="8"/>
  <c r="P350" i="8"/>
  <c r="E247" i="8"/>
  <c r="P247" i="8"/>
  <c r="O268" i="8"/>
  <c r="J268" i="8"/>
  <c r="P268" i="8"/>
  <c r="K267" i="8"/>
  <c r="O267" i="8"/>
  <c r="E49" i="8"/>
  <c r="P49" i="8"/>
  <c r="J225" i="8"/>
  <c r="P225" i="8"/>
  <c r="J239" i="8"/>
  <c r="J238" i="8"/>
  <c r="P140" i="8"/>
  <c r="P250" i="8"/>
  <c r="J384" i="8"/>
  <c r="P263" i="8"/>
  <c r="H51" i="8"/>
  <c r="H42" i="8"/>
  <c r="H259" i="8"/>
  <c r="H258" i="8"/>
  <c r="P322" i="8"/>
  <c r="P361" i="8"/>
  <c r="P89" i="8"/>
  <c r="P82" i="8"/>
  <c r="J15" i="8"/>
  <c r="P292" i="8"/>
  <c r="O99" i="8"/>
  <c r="J155" i="8"/>
  <c r="P165" i="8"/>
  <c r="P60" i="8"/>
  <c r="P163" i="8"/>
  <c r="P168" i="8"/>
  <c r="P184" i="8"/>
  <c r="P264" i="8"/>
  <c r="P287" i="8"/>
  <c r="P154" i="8"/>
  <c r="P289" i="8"/>
  <c r="P105" i="8"/>
  <c r="P121" i="8"/>
  <c r="P109" i="8"/>
  <c r="P157" i="8"/>
  <c r="P326" i="8"/>
  <c r="I151" i="8"/>
  <c r="E246" i="8"/>
  <c r="E244" i="8"/>
  <c r="J224" i="8"/>
  <c r="P224" i="8"/>
  <c r="J307" i="8"/>
  <c r="P307" i="8"/>
  <c r="P339" i="8"/>
  <c r="E50" i="8"/>
  <c r="P50" i="8"/>
  <c r="P274" i="8"/>
  <c r="O272" i="8"/>
  <c r="P395" i="8"/>
  <c r="F51" i="8"/>
  <c r="F42" i="8"/>
  <c r="P86" i="8"/>
  <c r="P188" i="8"/>
  <c r="P71" i="8"/>
  <c r="P334" i="8"/>
  <c r="O310" i="8"/>
  <c r="P233" i="8"/>
  <c r="J272" i="8"/>
  <c r="P273" i="8"/>
  <c r="O374" i="8"/>
  <c r="O372" i="8"/>
  <c r="P25" i="8"/>
  <c r="K51" i="8"/>
  <c r="K42" i="8"/>
  <c r="O57" i="8"/>
  <c r="J57" i="8"/>
  <c r="K102" i="8"/>
  <c r="K93" i="8"/>
  <c r="O104" i="8"/>
  <c r="J104" i="8"/>
  <c r="J102" i="8"/>
  <c r="J93" i="8"/>
  <c r="P393" i="8"/>
  <c r="O51" i="8"/>
  <c r="O42" i="8"/>
  <c r="O94" i="8"/>
  <c r="K259" i="8"/>
  <c r="K258" i="8"/>
  <c r="J374" i="8"/>
  <c r="J372" i="8"/>
  <c r="J21" i="8"/>
  <c r="P21" i="8"/>
  <c r="E259" i="8"/>
  <c r="E258" i="8"/>
  <c r="E277" i="8"/>
  <c r="E275" i="8"/>
  <c r="P144" i="8"/>
  <c r="P385" i="8"/>
  <c r="F246" i="8"/>
  <c r="F244" i="8"/>
  <c r="J245" i="8"/>
  <c r="O344" i="8"/>
  <c r="J344" i="8"/>
  <c r="O30" i="8"/>
  <c r="J30" i="8"/>
  <c r="P30" i="8"/>
  <c r="E97" i="8"/>
  <c r="P97" i="8"/>
  <c r="P31" i="8"/>
  <c r="P112" i="8"/>
  <c r="P122" i="8"/>
  <c r="P127" i="8"/>
  <c r="J171" i="8"/>
  <c r="P175" i="8"/>
  <c r="P262" i="8"/>
  <c r="P347" i="8"/>
  <c r="E346" i="8"/>
  <c r="P346" i="8"/>
  <c r="P365" i="8"/>
  <c r="P270" i="8"/>
  <c r="P77" i="8"/>
  <c r="P62" i="8"/>
  <c r="P120" i="8"/>
  <c r="P57" i="8"/>
  <c r="O40" i="8"/>
  <c r="J40" i="8"/>
  <c r="P40" i="8"/>
  <c r="P103" i="8"/>
  <c r="P374" i="8"/>
  <c r="P345" i="8"/>
  <c r="E344" i="8"/>
  <c r="P344" i="8"/>
  <c r="J94" i="8"/>
  <c r="P94" i="8"/>
  <c r="P106" i="8"/>
  <c r="P118" i="8"/>
  <c r="E130" i="8"/>
  <c r="P130" i="8"/>
  <c r="O153" i="8"/>
  <c r="O151" i="8"/>
  <c r="P174" i="8"/>
  <c r="P171" i="8"/>
  <c r="P176" i="8"/>
  <c r="P317" i="8"/>
  <c r="E374" i="8"/>
  <c r="E372" i="8"/>
  <c r="P372" i="8"/>
  <c r="P116" i="8"/>
  <c r="P70" i="8"/>
  <c r="E315" i="8"/>
  <c r="P315" i="8"/>
  <c r="P148" i="8"/>
  <c r="J143" i="8"/>
  <c r="O143" i="8"/>
  <c r="P325" i="8"/>
  <c r="P242" i="8"/>
  <c r="P239" i="8"/>
  <c r="E239" i="8"/>
  <c r="E238" i="8"/>
  <c r="P238" i="8"/>
  <c r="P143" i="8"/>
  <c r="P388" i="8"/>
  <c r="P387" i="8"/>
  <c r="P386" i="8"/>
  <c r="J356" i="8"/>
  <c r="P356" i="8"/>
  <c r="O16" i="8"/>
  <c r="O14" i="8"/>
  <c r="J17" i="8"/>
  <c r="E153" i="8"/>
  <c r="E16" i="8"/>
  <c r="E14" i="8"/>
  <c r="P17" i="8"/>
  <c r="F16" i="8"/>
  <c r="F14" i="8"/>
  <c r="J254" i="8"/>
  <c r="O102" i="8"/>
  <c r="O93" i="8"/>
  <c r="P104" i="8"/>
  <c r="E305" i="8"/>
  <c r="J360" i="8"/>
  <c r="E151" i="8"/>
  <c r="P254" i="8"/>
  <c r="P360" i="8"/>
  <c r="J267" i="8"/>
  <c r="P267" i="8"/>
  <c r="J315" i="8"/>
  <c r="J305" i="8"/>
  <c r="P20" i="8"/>
  <c r="P16" i="8"/>
  <c r="P14" i="8"/>
  <c r="P59" i="8"/>
  <c r="J51" i="8"/>
  <c r="J42" i="8"/>
  <c r="J151" i="8"/>
  <c r="P153" i="8"/>
  <c r="P151" i="8"/>
  <c r="P259" i="8"/>
  <c r="P258" i="8"/>
  <c r="P23" i="8"/>
  <c r="P139" i="8"/>
  <c r="O259" i="8"/>
  <c r="O258" i="8"/>
  <c r="J259" i="8"/>
  <c r="J258" i="8"/>
  <c r="J246" i="8"/>
  <c r="J244" i="8"/>
  <c r="P244" i="8"/>
  <c r="E102" i="8"/>
  <c r="E93" i="8"/>
  <c r="P93" i="8"/>
  <c r="J278" i="8"/>
  <c r="J312" i="8"/>
  <c r="P312" i="8"/>
  <c r="E51" i="8"/>
  <c r="E42" i="8"/>
  <c r="P123" i="8"/>
  <c r="P124" i="8"/>
  <c r="P129" i="8"/>
  <c r="P327" i="8"/>
  <c r="P337" i="8"/>
  <c r="P358" i="8"/>
  <c r="P79" i="8"/>
  <c r="P138" i="8"/>
  <c r="P102" i="8"/>
  <c r="P278" i="8"/>
  <c r="P277" i="8"/>
  <c r="J277" i="8"/>
  <c r="J275" i="8"/>
  <c r="P275" i="8"/>
  <c r="P246" i="8"/>
  <c r="P51" i="8"/>
  <c r="P42" i="8"/>
  <c r="J318" i="8"/>
  <c r="P318" i="8"/>
  <c r="P305" i="8"/>
  <c r="P389" i="8"/>
  <c r="P396" i="8"/>
  <c r="P402" i="8"/>
  <c r="P404" i="8"/>
  <c r="P406" i="8"/>
  <c r="E396" i="8"/>
  <c r="P391" i="8"/>
  <c r="P390" i="8"/>
  <c r="E409" i="8"/>
  <c r="E410" i="8"/>
  <c r="E402" i="8"/>
  <c r="E404" i="8"/>
  <c r="E406" i="8"/>
</calcChain>
</file>

<file path=xl/sharedStrings.xml><?xml version="1.0" encoding="utf-8"?>
<sst xmlns="http://schemas.openxmlformats.org/spreadsheetml/2006/main" count="1030" uniqueCount="673">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</sst>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3"/>
  <sheetViews>
    <sheetView tabSelected="1" topLeftCell="A9" zoomScaleNormal="100" zoomScaleSheetLayoutView="100" workbookViewId="0">
      <pane xSplit="4" ySplit="5" topLeftCell="E400" activePane="bottomRight" state="frozen"/>
      <selection activeCell="A9" sqref="A9"/>
      <selection pane="topRight" activeCell="E9" sqref="E9"/>
      <selection pane="bottomLeft" activeCell="A14" sqref="A14"/>
      <selection pane="bottomRight" activeCell="D425" sqref="D425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524</v>
      </c>
      <c r="P1" s="49"/>
    </row>
    <row r="2" spans="1:18" ht="24" customHeight="1" x14ac:dyDescent="0.2">
      <c r="C2" s="50"/>
      <c r="N2" s="114" t="s">
        <v>96</v>
      </c>
      <c r="O2" s="114"/>
      <c r="P2" s="114"/>
    </row>
    <row r="3" spans="1:18" x14ac:dyDescent="0.2">
      <c r="C3" s="51"/>
      <c r="N3" s="52" t="s">
        <v>525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593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572</v>
      </c>
    </row>
    <row r="8" spans="1:18" x14ac:dyDescent="0.2">
      <c r="C8" s="56"/>
      <c r="P8" s="57" t="s">
        <v>571</v>
      </c>
    </row>
    <row r="9" spans="1:18" ht="15" x14ac:dyDescent="0.25">
      <c r="A9" s="109" t="s">
        <v>527</v>
      </c>
      <c r="B9" s="110" t="s">
        <v>528</v>
      </c>
      <c r="C9" s="111" t="s">
        <v>529</v>
      </c>
      <c r="D9" s="112" t="s">
        <v>530</v>
      </c>
      <c r="E9" s="116" t="s">
        <v>109</v>
      </c>
      <c r="F9" s="116"/>
      <c r="G9" s="116"/>
      <c r="H9" s="116"/>
      <c r="I9" s="116"/>
      <c r="J9" s="116" t="s">
        <v>110</v>
      </c>
      <c r="K9" s="116"/>
      <c r="L9" s="116"/>
      <c r="M9" s="116"/>
      <c r="N9" s="116"/>
      <c r="O9" s="116"/>
      <c r="P9" s="116" t="s">
        <v>111</v>
      </c>
    </row>
    <row r="10" spans="1:18" ht="22.5" customHeight="1" x14ac:dyDescent="0.2">
      <c r="A10" s="109"/>
      <c r="B10" s="110"/>
      <c r="C10" s="111"/>
      <c r="D10" s="112"/>
      <c r="E10" s="113" t="s">
        <v>531</v>
      </c>
      <c r="F10" s="119" t="s">
        <v>112</v>
      </c>
      <c r="G10" s="113" t="s">
        <v>113</v>
      </c>
      <c r="H10" s="113"/>
      <c r="I10" s="113" t="s">
        <v>114</v>
      </c>
      <c r="J10" s="120" t="s">
        <v>532</v>
      </c>
      <c r="K10" s="120" t="s">
        <v>533</v>
      </c>
      <c r="L10" s="113" t="s">
        <v>112</v>
      </c>
      <c r="M10" s="113" t="s">
        <v>113</v>
      </c>
      <c r="N10" s="113"/>
      <c r="O10" s="113" t="s">
        <v>114</v>
      </c>
      <c r="P10" s="116"/>
    </row>
    <row r="11" spans="1:18" ht="21.75" customHeight="1" x14ac:dyDescent="0.2">
      <c r="A11" s="109"/>
      <c r="B11" s="110"/>
      <c r="C11" s="111"/>
      <c r="D11" s="112"/>
      <c r="E11" s="113"/>
      <c r="F11" s="119"/>
      <c r="G11" s="113" t="s">
        <v>115</v>
      </c>
      <c r="H11" s="113" t="s">
        <v>116</v>
      </c>
      <c r="I11" s="113"/>
      <c r="J11" s="120"/>
      <c r="K11" s="120"/>
      <c r="L11" s="113"/>
      <c r="M11" s="113" t="s">
        <v>115</v>
      </c>
      <c r="N11" s="113" t="s">
        <v>116</v>
      </c>
      <c r="O11" s="113"/>
      <c r="P11" s="116"/>
    </row>
    <row r="12" spans="1:18" ht="31.5" customHeight="1" x14ac:dyDescent="0.2">
      <c r="A12" s="109"/>
      <c r="B12" s="110"/>
      <c r="C12" s="111"/>
      <c r="D12" s="112"/>
      <c r="E12" s="113"/>
      <c r="F12" s="119"/>
      <c r="G12" s="113"/>
      <c r="H12" s="113"/>
      <c r="I12" s="113"/>
      <c r="J12" s="120"/>
      <c r="K12" s="120"/>
      <c r="L12" s="113"/>
      <c r="M12" s="113"/>
      <c r="N12" s="113"/>
      <c r="O12" s="113"/>
      <c r="P12" s="116"/>
    </row>
    <row r="13" spans="1:18" s="61" customFormat="1" x14ac:dyDescent="0.2">
      <c r="A13" s="59">
        <v>1</v>
      </c>
      <c r="B13" s="59" t="s">
        <v>76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117</v>
      </c>
      <c r="E14" s="13">
        <f>E16</f>
        <v>67112469</v>
      </c>
      <c r="F14" s="13">
        <f t="shared" ref="F14:P14" si="0">F16</f>
        <v>67112469</v>
      </c>
      <c r="G14" s="13">
        <f t="shared" si="0"/>
        <v>40947800</v>
      </c>
      <c r="H14" s="13">
        <f t="shared" si="0"/>
        <v>1102500</v>
      </c>
      <c r="I14" s="13">
        <f t="shared" si="0"/>
        <v>0</v>
      </c>
      <c r="J14" s="13">
        <f>J16</f>
        <v>4975777</v>
      </c>
      <c r="K14" s="13">
        <f>K16</f>
        <v>2048800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3007977</v>
      </c>
      <c r="P14" s="13">
        <f t="shared" si="0"/>
        <v>72088246</v>
      </c>
      <c r="R14" s="34"/>
    </row>
    <row r="15" spans="1:18" s="1" customFormat="1" ht="13.5" x14ac:dyDescent="0.2">
      <c r="A15" s="63"/>
      <c r="B15" s="64"/>
      <c r="C15" s="65"/>
      <c r="D15" s="15" t="s">
        <v>661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117</v>
      </c>
      <c r="E16" s="68">
        <f>E17+E20+E41+E22+E25+E29+E27+E34+E35+E39+E30+E33+E18+E32</f>
        <v>67112469</v>
      </c>
      <c r="F16" s="68">
        <f>F17+F20+F41+F22+F25+F29+F27+F34+F35+F39+F30+F33+F18+F32</f>
        <v>67112469</v>
      </c>
      <c r="G16" s="68">
        <f>G17+G20+G41+G22+G25+G29+G27+G34+G35+G39+G30+G33+G18</f>
        <v>40947800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4975777</v>
      </c>
      <c r="K16" s="68">
        <f>K17+K20+K41+K22+K25+K29+K27+K34+K35+K39+K30+K33+K18+K37+K32</f>
        <v>2048800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3007977</v>
      </c>
      <c r="P16" s="68">
        <f>P17+P25+P27+P29+P31+P32+P34+P37+P39+P41</f>
        <v>72088246</v>
      </c>
    </row>
    <row r="17" spans="1:17" ht="41.25" customHeight="1" x14ac:dyDescent="0.2">
      <c r="A17" s="41" t="s">
        <v>175</v>
      </c>
      <c r="B17" s="4" t="s">
        <v>172</v>
      </c>
      <c r="C17" s="4" t="s">
        <v>118</v>
      </c>
      <c r="D17" s="23" t="s">
        <v>173</v>
      </c>
      <c r="E17" s="11">
        <f t="shared" ref="E17:E24" si="1">F17+I17</f>
        <v>56096600</v>
      </c>
      <c r="F17" s="11">
        <f>53978200+1367600+300800+450000</f>
        <v>56096600</v>
      </c>
      <c r="G17" s="11">
        <f>39580200+1367600</f>
        <v>40947800</v>
      </c>
      <c r="H17" s="11">
        <f>1181000-78500</f>
        <v>1102500</v>
      </c>
      <c r="I17" s="11"/>
      <c r="J17" s="11">
        <f>L17+O17</f>
        <v>1072500</v>
      </c>
      <c r="K17" s="11">
        <f>1522500-450000</f>
        <v>1072500</v>
      </c>
      <c r="L17" s="11"/>
      <c r="M17" s="11"/>
      <c r="N17" s="11"/>
      <c r="O17" s="11">
        <f>K17</f>
        <v>1072500</v>
      </c>
      <c r="P17" s="13">
        <f t="shared" ref="P17:P41" si="2">E17+J17</f>
        <v>57169100</v>
      </c>
    </row>
    <row r="18" spans="1:17" ht="25.5" hidden="1" x14ac:dyDescent="0.2">
      <c r="A18" s="41" t="s">
        <v>534</v>
      </c>
      <c r="B18" s="4" t="s">
        <v>535</v>
      </c>
      <c r="C18" s="4"/>
      <c r="D18" s="5" t="s">
        <v>538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536</v>
      </c>
      <c r="B19" s="3" t="s">
        <v>537</v>
      </c>
      <c r="C19" s="3" t="s">
        <v>190</v>
      </c>
      <c r="D19" s="69" t="s">
        <v>539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427</v>
      </c>
      <c r="B20" s="4" t="s">
        <v>403</v>
      </c>
      <c r="C20" s="4"/>
      <c r="D20" s="5" t="s">
        <v>19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428</v>
      </c>
      <c r="B21" s="3" t="s">
        <v>405</v>
      </c>
      <c r="C21" s="3" t="s">
        <v>120</v>
      </c>
      <c r="D21" s="70" t="s">
        <v>424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22</v>
      </c>
      <c r="B22" s="4" t="s">
        <v>28</v>
      </c>
      <c r="C22" s="4"/>
      <c r="D22" s="72" t="s">
        <v>21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23</v>
      </c>
      <c r="B23" s="3" t="s">
        <v>29</v>
      </c>
      <c r="C23" s="3" t="s">
        <v>58</v>
      </c>
      <c r="D23" s="73" t="s">
        <v>24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7</v>
      </c>
      <c r="D25" s="5" t="s">
        <v>78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475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125</v>
      </c>
      <c r="D27" s="47" t="s">
        <v>80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481</v>
      </c>
      <c r="B28" s="4" t="s">
        <v>178</v>
      </c>
      <c r="C28" s="8" t="s">
        <v>124</v>
      </c>
      <c r="D28" s="21" t="s">
        <v>482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378</v>
      </c>
      <c r="B29" s="4" t="s">
        <v>377</v>
      </c>
      <c r="C29" s="4" t="s">
        <v>124</v>
      </c>
      <c r="D29" s="21" t="s">
        <v>379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388</v>
      </c>
      <c r="B31" s="4" t="s">
        <v>387</v>
      </c>
      <c r="C31" s="4" t="s">
        <v>124</v>
      </c>
      <c r="D31" s="21" t="s">
        <v>420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186</v>
      </c>
      <c r="B32" s="4" t="s">
        <v>187</v>
      </c>
      <c r="C32" s="4" t="s">
        <v>124</v>
      </c>
      <c r="D32" s="21" t="s">
        <v>188</v>
      </c>
      <c r="E32" s="11">
        <f t="shared" si="5"/>
        <v>7166419</v>
      </c>
      <c r="F32" s="11">
        <f>6966419+200000</f>
        <v>7166419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7200719</v>
      </c>
    </row>
    <row r="33" spans="1:18" hidden="1" x14ac:dyDescent="0.2">
      <c r="A33" s="41" t="s">
        <v>83</v>
      </c>
      <c r="B33" s="20" t="s">
        <v>30</v>
      </c>
      <c r="C33" s="20" t="s">
        <v>131</v>
      </c>
      <c r="D33" s="14" t="s">
        <v>132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127</v>
      </c>
      <c r="D34" s="14" t="s">
        <v>389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79</v>
      </c>
      <c r="B35" s="4" t="s">
        <v>65</v>
      </c>
      <c r="C35" s="4" t="s">
        <v>128</v>
      </c>
      <c r="D35" s="14" t="s">
        <v>129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460</v>
      </c>
      <c r="B36" s="4" t="s">
        <v>461</v>
      </c>
      <c r="C36" s="4"/>
      <c r="D36" s="14" t="s">
        <v>464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462</v>
      </c>
      <c r="B37" s="4" t="s">
        <v>463</v>
      </c>
      <c r="C37" s="4" t="s">
        <v>126</v>
      </c>
      <c r="D37" s="14" t="s">
        <v>130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465</v>
      </c>
      <c r="B39" s="4" t="s">
        <v>466</v>
      </c>
      <c r="C39" s="4" t="s">
        <v>354</v>
      </c>
      <c r="D39" s="72" t="s">
        <v>467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130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605</v>
      </c>
      <c r="B41" s="4" t="s">
        <v>604</v>
      </c>
      <c r="C41" s="4" t="s">
        <v>122</v>
      </c>
      <c r="D41" s="75" t="s">
        <v>606</v>
      </c>
      <c r="E41" s="11">
        <f>F41+I41</f>
        <v>2622300</v>
      </c>
      <c r="F41" s="11">
        <f>3722300-900000-200000</f>
        <v>2622300</v>
      </c>
      <c r="G41" s="11"/>
      <c r="H41" s="11"/>
      <c r="I41" s="11"/>
      <c r="J41" s="11">
        <f t="shared" si="3"/>
        <v>900000</v>
      </c>
      <c r="K41" s="11">
        <v>900000</v>
      </c>
      <c r="L41" s="11"/>
      <c r="M41" s="11"/>
      <c r="N41" s="11"/>
      <c r="O41" s="71">
        <f>K41</f>
        <v>900000</v>
      </c>
      <c r="P41" s="13">
        <f t="shared" si="2"/>
        <v>3522300</v>
      </c>
    </row>
    <row r="42" spans="1:18" x14ac:dyDescent="0.2">
      <c r="A42" s="62" t="s">
        <v>168</v>
      </c>
      <c r="B42" s="6"/>
      <c r="C42" s="7"/>
      <c r="D42" s="31" t="s">
        <v>133</v>
      </c>
      <c r="E42" s="25">
        <f>E51</f>
        <v>544138452</v>
      </c>
      <c r="F42" s="25">
        <f t="shared" ref="F42:P42" si="6">F51</f>
        <v>544138452</v>
      </c>
      <c r="G42" s="25">
        <f t="shared" si="6"/>
        <v>389158130</v>
      </c>
      <c r="H42" s="25">
        <f t="shared" si="6"/>
        <v>45052067</v>
      </c>
      <c r="I42" s="25"/>
      <c r="J42" s="25">
        <f t="shared" si="6"/>
        <v>40879594</v>
      </c>
      <c r="K42" s="25">
        <f>K51</f>
        <v>19116364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19207764</v>
      </c>
      <c r="P42" s="25">
        <f t="shared" si="6"/>
        <v>585018046</v>
      </c>
      <c r="Q42" s="39"/>
      <c r="R42" s="34"/>
    </row>
    <row r="43" spans="1:18" s="1" customFormat="1" x14ac:dyDescent="0.2">
      <c r="A43" s="36"/>
      <c r="B43" s="18"/>
      <c r="C43" s="3"/>
      <c r="D43" s="35" t="s">
        <v>84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584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492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664</v>
      </c>
      <c r="E50" s="10">
        <f>E92</f>
        <v>114499</v>
      </c>
      <c r="F50" s="10">
        <f t="shared" ref="F50:O50" si="8">F92</f>
        <v>114499</v>
      </c>
      <c r="G50" s="10">
        <f t="shared" si="8"/>
        <v>93800</v>
      </c>
      <c r="H50" s="10">
        <f t="shared" si="8"/>
        <v>0</v>
      </c>
      <c r="I50" s="10">
        <f t="shared" si="8"/>
        <v>0</v>
      </c>
      <c r="J50" s="10">
        <f t="shared" si="8"/>
        <v>8424</v>
      </c>
      <c r="K50" s="10">
        <f t="shared" si="8"/>
        <v>8424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 t="shared" si="8"/>
        <v>8424</v>
      </c>
      <c r="P50" s="13">
        <f t="shared" si="7"/>
        <v>122923</v>
      </c>
    </row>
    <row r="51" spans="1:18" x14ac:dyDescent="0.2">
      <c r="A51" s="41" t="s">
        <v>189</v>
      </c>
      <c r="B51" s="8"/>
      <c r="C51" s="7"/>
      <c r="D51" s="14" t="s">
        <v>133</v>
      </c>
      <c r="E51" s="25">
        <f>E52+E53+E57+E59+E68+E69+E74+E76+E80+E83+E85+E86+E89+E73+E91</f>
        <v>544138452</v>
      </c>
      <c r="F51" s="25">
        <f>F52+F53+F57+F59+F68+F69+F74+F76+F80+F83+F85+F86+F89+F73+F91</f>
        <v>544138452</v>
      </c>
      <c r="G51" s="25">
        <f>G52+G53+G57+G59+G68+G69+G74+G76+G80+G83+G85+G86+G89+G91</f>
        <v>389158130</v>
      </c>
      <c r="H51" s="25">
        <f>H52+H53+H57+H59+H68+H69+H74+H76+H80+H83+H85+H86+H89</f>
        <v>45052067</v>
      </c>
      <c r="I51" s="25">
        <f>I52+I53+I57+I59+I68+I69+I74+I76+I80+I83+I85+I86+I89</f>
        <v>0</v>
      </c>
      <c r="J51" s="25">
        <f>J52+J53+J57+J59+J68+J69+J74+J76+J80+J83+J85+J86+J89+J73+J91</f>
        <v>40879594</v>
      </c>
      <c r="K51" s="25">
        <f t="shared" ref="K51:P51" si="9">K52+K53+K57+K59+K68+K69+K74+K76+K80+K83+K85+K86+K89+K73+K91</f>
        <v>19116364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 t="shared" si="9"/>
        <v>19207764</v>
      </c>
      <c r="P51" s="25">
        <f t="shared" si="9"/>
        <v>585018046</v>
      </c>
    </row>
    <row r="52" spans="1:18" ht="25.5" x14ac:dyDescent="0.2">
      <c r="A52" s="41" t="s">
        <v>191</v>
      </c>
      <c r="B52" s="4" t="s">
        <v>190</v>
      </c>
      <c r="C52" s="4" t="s">
        <v>118</v>
      </c>
      <c r="D52" s="14" t="s">
        <v>603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8" si="11">E52+J52</f>
        <v>2371500</v>
      </c>
    </row>
    <row r="53" spans="1:18" x14ac:dyDescent="0.2">
      <c r="A53" s="41" t="s">
        <v>193</v>
      </c>
      <c r="B53" s="20" t="s">
        <v>61</v>
      </c>
      <c r="C53" s="20" t="s">
        <v>134</v>
      </c>
      <c r="D53" s="5" t="s">
        <v>192</v>
      </c>
      <c r="E53" s="11">
        <f>F53</f>
        <v>179118400</v>
      </c>
      <c r="F53" s="12">
        <f>181298400-180000-2000000</f>
        <v>179118400</v>
      </c>
      <c r="G53" s="12">
        <f>122869300-1600000</f>
        <v>121269300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200456700</v>
      </c>
      <c r="Q53" s="104"/>
      <c r="R53" s="105"/>
    </row>
    <row r="54" spans="1:18" ht="38.25" hidden="1" x14ac:dyDescent="0.2">
      <c r="A54" s="41"/>
      <c r="B54" s="20"/>
      <c r="C54" s="20"/>
      <c r="D54" s="35" t="s">
        <v>492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619</v>
      </c>
      <c r="B57" s="98" t="s">
        <v>609</v>
      </c>
      <c r="C57" s="20" t="s">
        <v>135</v>
      </c>
      <c r="D57" s="21" t="s">
        <v>621</v>
      </c>
      <c r="E57" s="11">
        <f>F57</f>
        <v>72088067</v>
      </c>
      <c r="F57" s="12">
        <f>73544067-456000-1000000</f>
        <v>72088067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79245079</v>
      </c>
    </row>
    <row r="58" spans="1:18" ht="38.25" x14ac:dyDescent="0.2">
      <c r="A58" s="41"/>
      <c r="B58" s="98"/>
      <c r="C58" s="20"/>
      <c r="D58" s="35" t="s">
        <v>633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620</v>
      </c>
      <c r="B59" s="98" t="s">
        <v>610</v>
      </c>
      <c r="C59" s="20" t="s">
        <v>135</v>
      </c>
      <c r="D59" s="21" t="s">
        <v>621</v>
      </c>
      <c r="E59" s="11">
        <f t="shared" ref="E59:E92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160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120</v>
      </c>
      <c r="C61" s="20" t="s">
        <v>135</v>
      </c>
      <c r="D61" s="5" t="s">
        <v>85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561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471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84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622</v>
      </c>
      <c r="B68" s="98" t="s">
        <v>611</v>
      </c>
      <c r="C68" s="20" t="s">
        <v>106</v>
      </c>
      <c r="D68" s="23" t="s">
        <v>573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623</v>
      </c>
      <c r="B69" s="98" t="s">
        <v>612</v>
      </c>
      <c r="C69" s="20" t="s">
        <v>106</v>
      </c>
      <c r="D69" s="23" t="s">
        <v>573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492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84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649</v>
      </c>
      <c r="B73" s="22" t="s">
        <v>650</v>
      </c>
      <c r="C73" s="22" t="s">
        <v>135</v>
      </c>
      <c r="D73" s="103" t="s">
        <v>618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624</v>
      </c>
      <c r="B74" s="98" t="s">
        <v>26</v>
      </c>
      <c r="C74" s="20" t="s">
        <v>136</v>
      </c>
      <c r="D74" s="21" t="s">
        <v>574</v>
      </c>
      <c r="E74" s="11">
        <f t="shared" si="13"/>
        <v>23040219</v>
      </c>
      <c r="F74" s="12">
        <f>23248900-208681</f>
        <v>23040219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2583250</v>
      </c>
      <c r="K74" s="12">
        <f>1693000-300000</f>
        <v>1393000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1445600</v>
      </c>
      <c r="P74" s="13">
        <f>E74+J74</f>
        <v>25623469</v>
      </c>
    </row>
    <row r="75" spans="1:16" s="1" customFormat="1" hidden="1" x14ac:dyDescent="0.2">
      <c r="A75" s="36"/>
      <c r="B75" s="97"/>
      <c r="C75" s="22"/>
      <c r="D75" s="19" t="s">
        <v>475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196</v>
      </c>
      <c r="B76" s="98" t="s">
        <v>195</v>
      </c>
      <c r="C76" s="20" t="s">
        <v>137</v>
      </c>
      <c r="D76" s="5" t="s">
        <v>625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31</v>
      </c>
      <c r="C77" s="20" t="s">
        <v>137</v>
      </c>
      <c r="D77" s="21" t="s">
        <v>86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32</v>
      </c>
      <c r="C78" s="20" t="s">
        <v>137</v>
      </c>
      <c r="D78" s="21" t="s">
        <v>87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196</v>
      </c>
      <c r="B79" s="96" t="s">
        <v>195</v>
      </c>
      <c r="C79" s="20"/>
      <c r="D79" s="42" t="s">
        <v>194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626</v>
      </c>
      <c r="B80" s="98" t="s">
        <v>613</v>
      </c>
      <c r="C80" s="20" t="s">
        <v>137</v>
      </c>
      <c r="D80" s="42" t="s">
        <v>390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540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492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627</v>
      </c>
      <c r="B83" s="98" t="s">
        <v>614</v>
      </c>
      <c r="C83" s="20" t="s">
        <v>137</v>
      </c>
      <c r="D83" s="42" t="s">
        <v>391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629</v>
      </c>
      <c r="B85" s="98" t="s">
        <v>615</v>
      </c>
      <c r="C85" s="20" t="s">
        <v>137</v>
      </c>
      <c r="D85" s="14" t="s">
        <v>628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630</v>
      </c>
      <c r="B86" s="100" t="s">
        <v>616</v>
      </c>
      <c r="C86" s="22" t="s">
        <v>137</v>
      </c>
      <c r="D86" s="14" t="s">
        <v>631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555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475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634</v>
      </c>
      <c r="B89" s="20" t="s">
        <v>32</v>
      </c>
      <c r="C89" s="4" t="s">
        <v>137</v>
      </c>
      <c r="D89" s="82" t="s">
        <v>635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492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ht="38.25" x14ac:dyDescent="0.2">
      <c r="A91" s="41" t="s">
        <v>662</v>
      </c>
      <c r="B91" s="20" t="s">
        <v>663</v>
      </c>
      <c r="C91" s="4" t="s">
        <v>137</v>
      </c>
      <c r="D91" s="77" t="s">
        <v>665</v>
      </c>
      <c r="E91" s="10">
        <f t="shared" si="13"/>
        <v>114499</v>
      </c>
      <c r="F91" s="11">
        <f>114499</f>
        <v>114499</v>
      </c>
      <c r="G91" s="11">
        <v>93800</v>
      </c>
      <c r="H91" s="12"/>
      <c r="I91" s="12"/>
      <c r="J91" s="11">
        <f>K91</f>
        <v>8424</v>
      </c>
      <c r="K91" s="12">
        <v>8424</v>
      </c>
      <c r="L91" s="12"/>
      <c r="M91" s="12"/>
      <c r="N91" s="12"/>
      <c r="O91" s="12">
        <f>K91</f>
        <v>8424</v>
      </c>
      <c r="P91" s="13">
        <f>E91+J91</f>
        <v>122923</v>
      </c>
    </row>
    <row r="92" spans="1:18" s="1" customFormat="1" ht="38.25" x14ac:dyDescent="0.2">
      <c r="A92" s="36"/>
      <c r="B92" s="22"/>
      <c r="C92" s="3"/>
      <c r="D92" s="35" t="s">
        <v>664</v>
      </c>
      <c r="E92" s="10">
        <f t="shared" si="13"/>
        <v>114499</v>
      </c>
      <c r="F92" s="10">
        <v>114499</v>
      </c>
      <c r="G92" s="10">
        <v>93800</v>
      </c>
      <c r="H92" s="17"/>
      <c r="I92" s="17"/>
      <c r="J92" s="11">
        <f>K92</f>
        <v>8424</v>
      </c>
      <c r="K92" s="17">
        <v>8424</v>
      </c>
      <c r="L92" s="17"/>
      <c r="M92" s="17"/>
      <c r="N92" s="17"/>
      <c r="O92" s="12">
        <f>K92</f>
        <v>8424</v>
      </c>
      <c r="P92" s="13">
        <f>E92+J92</f>
        <v>122923</v>
      </c>
    </row>
    <row r="93" spans="1:18" x14ac:dyDescent="0.2">
      <c r="A93" s="62" t="s">
        <v>169</v>
      </c>
      <c r="B93" s="6"/>
      <c r="C93" s="7"/>
      <c r="D93" s="31" t="s">
        <v>91</v>
      </c>
      <c r="E93" s="25">
        <f>E102</f>
        <v>43541616</v>
      </c>
      <c r="F93" s="25">
        <f t="shared" ref="F93:O93" si="14">F102</f>
        <v>43541616</v>
      </c>
      <c r="G93" s="25">
        <f t="shared" si="14"/>
        <v>2019700</v>
      </c>
      <c r="H93" s="25">
        <f t="shared" si="14"/>
        <v>34000</v>
      </c>
      <c r="I93" s="25">
        <f t="shared" si="14"/>
        <v>0</v>
      </c>
      <c r="J93" s="25">
        <f t="shared" si="14"/>
        <v>4923514</v>
      </c>
      <c r="K93" s="25">
        <f>K102</f>
        <v>4814857</v>
      </c>
      <c r="L93" s="25">
        <f t="shared" si="14"/>
        <v>108657</v>
      </c>
      <c r="M93" s="25">
        <f t="shared" si="14"/>
        <v>0</v>
      </c>
      <c r="N93" s="25">
        <f t="shared" si="14"/>
        <v>0</v>
      </c>
      <c r="O93" s="25">
        <f t="shared" si="14"/>
        <v>4814857</v>
      </c>
      <c r="P93" s="13">
        <f t="shared" si="11"/>
        <v>48465130</v>
      </c>
      <c r="Q93" s="39"/>
      <c r="R93" s="34"/>
    </row>
    <row r="94" spans="1:18" s="1" customFormat="1" hidden="1" x14ac:dyDescent="0.2">
      <c r="A94" s="36"/>
      <c r="B94" s="18"/>
      <c r="C94" s="3"/>
      <c r="D94" s="35" t="s">
        <v>93</v>
      </c>
      <c r="E94" s="10">
        <f>F94+I94</f>
        <v>0</v>
      </c>
      <c r="F94" s="17">
        <f>F105+F111+F124+F117</f>
        <v>0</v>
      </c>
      <c r="G94" s="17">
        <f>SUM(G105+G108+G111+G113+G127+G122+G140+G131+G135)</f>
        <v>0</v>
      </c>
      <c r="H94" s="17">
        <f>SUM(H105+H108+H111+H113+H127+H122+H140+H131+H135)</f>
        <v>0</v>
      </c>
      <c r="I94" s="17">
        <f>SUM(I105+I108+I111+I113+I127+I122+I140+I131+I135)</f>
        <v>0</v>
      </c>
      <c r="J94" s="17">
        <f>SUM(J105+J111+J113+J127+J122+J140)</f>
        <v>0</v>
      </c>
      <c r="K94" s="17">
        <f>SUM(K105+K111+K113+K127+K122+K140)</f>
        <v>0</v>
      </c>
      <c r="L94" s="17">
        <f>SUM(L105+L108+L111+L113+L127+L122+L140)</f>
        <v>0</v>
      </c>
      <c r="M94" s="17">
        <f>SUM(M105+M108+M111+M113+M127+M122+M140)</f>
        <v>0</v>
      </c>
      <c r="N94" s="17">
        <f>SUM(N105+N108+N111+N113+N127+N122+N140)</f>
        <v>0</v>
      </c>
      <c r="O94" s="17">
        <f>SUM(O105+O111+O113+O127+O122+O140)</f>
        <v>0</v>
      </c>
      <c r="P94" s="16">
        <f t="shared" si="11"/>
        <v>0</v>
      </c>
    </row>
    <row r="95" spans="1:18" s="1" customFormat="1" ht="25.5" hidden="1" x14ac:dyDescent="0.2">
      <c r="A95" s="36"/>
      <c r="B95" s="18"/>
      <c r="C95" s="3"/>
      <c r="D95" s="35" t="s">
        <v>459</v>
      </c>
      <c r="E95" s="10">
        <f>F95+I95</f>
        <v>0</v>
      </c>
      <c r="F95" s="17">
        <f>F118+F108</f>
        <v>0</v>
      </c>
      <c r="G95" s="17"/>
      <c r="H95" s="17"/>
      <c r="I95" s="17"/>
      <c r="J95" s="17">
        <f>L95+O95</f>
        <v>0</v>
      </c>
      <c r="K95" s="17">
        <f>K118+K108+K114+K125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25.5" hidden="1" x14ac:dyDescent="0.2">
      <c r="A96" s="36"/>
      <c r="B96" s="18"/>
      <c r="C96" s="3"/>
      <c r="D96" s="35" t="s">
        <v>472</v>
      </c>
      <c r="E96" s="10">
        <f>F96+I96</f>
        <v>0</v>
      </c>
      <c r="F96" s="17"/>
      <c r="G96" s="17"/>
      <c r="H96" s="17"/>
      <c r="I96" s="17"/>
      <c r="J96" s="17">
        <f>L96+O96</f>
        <v>0</v>
      </c>
      <c r="K96" s="17">
        <f>K145</f>
        <v>0</v>
      </c>
      <c r="L96" s="17"/>
      <c r="M96" s="17"/>
      <c r="N96" s="17"/>
      <c r="O96" s="17">
        <f>O145</f>
        <v>0</v>
      </c>
      <c r="P96" s="16">
        <f t="shared" si="11"/>
        <v>0</v>
      </c>
    </row>
    <row r="97" spans="1:16" s="1" customFormat="1" hidden="1" x14ac:dyDescent="0.2">
      <c r="A97" s="36"/>
      <c r="B97" s="18"/>
      <c r="C97" s="3"/>
      <c r="D97" s="35" t="s">
        <v>475</v>
      </c>
      <c r="E97" s="10">
        <f>E141+E107</f>
        <v>0</v>
      </c>
      <c r="F97" s="10">
        <f>F141+F107</f>
        <v>0</v>
      </c>
      <c r="G97" s="10">
        <f>G141</f>
        <v>0</v>
      </c>
      <c r="H97" s="10">
        <f>H141</f>
        <v>0</v>
      </c>
      <c r="I97" s="10">
        <f>I141</f>
        <v>0</v>
      </c>
      <c r="J97" s="10">
        <f>K97+L97</f>
        <v>0</v>
      </c>
      <c r="K97" s="17">
        <f>K107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32.25" hidden="1" customHeight="1" x14ac:dyDescent="0.2">
      <c r="A98" s="36"/>
      <c r="B98" s="18"/>
      <c r="C98" s="3"/>
      <c r="D98" s="19" t="s">
        <v>582</v>
      </c>
      <c r="E98" s="10">
        <f>F98</f>
        <v>0</v>
      </c>
      <c r="F98" s="10">
        <f>F131+F108</f>
        <v>0</v>
      </c>
      <c r="G98" s="10"/>
      <c r="H98" s="10"/>
      <c r="I98" s="10"/>
      <c r="J98" s="10"/>
      <c r="K98" s="17"/>
      <c r="L98" s="17"/>
      <c r="M98" s="17"/>
      <c r="N98" s="17"/>
      <c r="O98" s="17"/>
      <c r="P98" s="16">
        <f t="shared" si="11"/>
        <v>0</v>
      </c>
    </row>
    <row r="99" spans="1:16" s="1" customFormat="1" ht="29.25" hidden="1" customHeight="1" x14ac:dyDescent="0.2">
      <c r="A99" s="36"/>
      <c r="B99" s="18"/>
      <c r="C99" s="3"/>
      <c r="D99" s="19" t="s">
        <v>576</v>
      </c>
      <c r="E99" s="10">
        <f>E132</f>
        <v>0</v>
      </c>
      <c r="F99" s="10">
        <f>F132</f>
        <v>0</v>
      </c>
      <c r="G99" s="10"/>
      <c r="H99" s="10"/>
      <c r="I99" s="10"/>
      <c r="J99" s="10">
        <f>J109</f>
        <v>0</v>
      </c>
      <c r="K99" s="10">
        <f>K109</f>
        <v>0</v>
      </c>
      <c r="L99" s="17"/>
      <c r="M99" s="17"/>
      <c r="N99" s="17"/>
      <c r="O99" s="10">
        <f>O109</f>
        <v>0</v>
      </c>
      <c r="P99" s="16">
        <f t="shared" si="11"/>
        <v>0</v>
      </c>
    </row>
    <row r="100" spans="1:16" s="1" customFormat="1" ht="38.25" x14ac:dyDescent="0.2">
      <c r="A100" s="36"/>
      <c r="B100" s="18"/>
      <c r="C100" s="3"/>
      <c r="D100" s="19" t="s">
        <v>637</v>
      </c>
      <c r="E100" s="10">
        <f>F100</f>
        <v>3948808</v>
      </c>
      <c r="F100" s="10">
        <f>F109+F115+F119+F133</f>
        <v>3948808</v>
      </c>
      <c r="G100" s="10"/>
      <c r="H100" s="10"/>
      <c r="I100" s="10"/>
      <c r="J100" s="10">
        <f>J142</f>
        <v>0</v>
      </c>
      <c r="K100" s="17"/>
      <c r="L100" s="17"/>
      <c r="M100" s="17"/>
      <c r="N100" s="17"/>
      <c r="O100" s="17"/>
      <c r="P100" s="16">
        <f t="shared" si="11"/>
        <v>3948808</v>
      </c>
    </row>
    <row r="101" spans="1:16" s="1" customFormat="1" ht="25.5" x14ac:dyDescent="0.2">
      <c r="A101" s="36"/>
      <c r="B101" s="18"/>
      <c r="C101" s="3"/>
      <c r="D101" s="35" t="s">
        <v>502</v>
      </c>
      <c r="E101" s="10"/>
      <c r="F101" s="17"/>
      <c r="G101" s="17"/>
      <c r="H101" s="17"/>
      <c r="I101" s="17"/>
      <c r="J101" s="17">
        <f>L101+O101</f>
        <v>347197</v>
      </c>
      <c r="K101" s="17">
        <f>K149</f>
        <v>347197</v>
      </c>
      <c r="L101" s="17"/>
      <c r="M101" s="17"/>
      <c r="N101" s="17"/>
      <c r="O101" s="17">
        <f>K101</f>
        <v>347197</v>
      </c>
      <c r="P101" s="16">
        <f t="shared" si="11"/>
        <v>347197</v>
      </c>
    </row>
    <row r="102" spans="1:16" s="1" customFormat="1" ht="16.5" customHeight="1" x14ac:dyDescent="0.2">
      <c r="A102" s="36" t="s">
        <v>197</v>
      </c>
      <c r="B102" s="18"/>
      <c r="C102" s="3"/>
      <c r="D102" s="15" t="s">
        <v>91</v>
      </c>
      <c r="E102" s="17">
        <f>E103+E104+E110+E116+E120+E128+E137+E143+E138+E139+E121+E130+E146</f>
        <v>43541616</v>
      </c>
      <c r="F102" s="17">
        <f>F103+F104+F110+F116+F120+F128+F137+F143+F138+F139+F121+F130+F146</f>
        <v>43541616</v>
      </c>
      <c r="G102" s="17">
        <f>G103+G104+G110+G116+G120+G128+G137+G143+G138+G139+G121</f>
        <v>2019700</v>
      </c>
      <c r="H102" s="17">
        <f>H103+H104+H110+H116+H120+H128+H137+H143+H138+H139+H121</f>
        <v>34000</v>
      </c>
      <c r="I102" s="17">
        <f>I103+I104+I110+I116+I120+I128+I137+I143+I138+I139+I121</f>
        <v>0</v>
      </c>
      <c r="J102" s="17">
        <f>J103+J104+J110+J116+J120+J128+J137+J143+J138+J121</f>
        <v>4923514</v>
      </c>
      <c r="K102" s="17">
        <f>K103+K104+K110+K116+K120+K128+K137+K143+K148+K121+K138</f>
        <v>4814857</v>
      </c>
      <c r="L102" s="17">
        <f>L103+L104+L110+L116+L120+L128+L137+L143+L138+L121</f>
        <v>108657</v>
      </c>
      <c r="M102" s="17">
        <f>M103+M104+M110+M116+M120+M128+M137+M143</f>
        <v>0</v>
      </c>
      <c r="N102" s="17">
        <f>N103+N104+N110+N116+N120+N128+N137+N143</f>
        <v>0</v>
      </c>
      <c r="O102" s="17">
        <f>O103+O104+O110+O130+O121+O138+O148</f>
        <v>4814857</v>
      </c>
      <c r="P102" s="17">
        <f>P103+P104+P110+P116+P120+P128+P137+P143+P130+P138+P139+P121+P146</f>
        <v>48465130</v>
      </c>
    </row>
    <row r="103" spans="1:16" ht="25.5" x14ac:dyDescent="0.2">
      <c r="A103" s="41" t="s">
        <v>198</v>
      </c>
      <c r="B103" s="4" t="s">
        <v>190</v>
      </c>
      <c r="C103" s="4" t="s">
        <v>118</v>
      </c>
      <c r="D103" s="14" t="s">
        <v>603</v>
      </c>
      <c r="E103" s="11">
        <f t="shared" ref="E103:E140" si="15">F103+I103</f>
        <v>2616700</v>
      </c>
      <c r="F103" s="12">
        <f>1116700+1500000</f>
        <v>2616700</v>
      </c>
      <c r="G103" s="12">
        <f>819700+1200000</f>
        <v>2019700</v>
      </c>
      <c r="H103" s="12">
        <v>34000</v>
      </c>
      <c r="I103" s="12"/>
      <c r="J103" s="11">
        <f t="shared" ref="J103:J149" si="16">L103+O103</f>
        <v>45000</v>
      </c>
      <c r="K103" s="12">
        <v>45000</v>
      </c>
      <c r="L103" s="12"/>
      <c r="M103" s="12"/>
      <c r="N103" s="12"/>
      <c r="O103" s="12">
        <f>K103</f>
        <v>45000</v>
      </c>
      <c r="P103" s="13">
        <f t="shared" si="11"/>
        <v>2661700</v>
      </c>
    </row>
    <row r="104" spans="1:16" x14ac:dyDescent="0.2">
      <c r="A104" s="41" t="s">
        <v>199</v>
      </c>
      <c r="B104" s="4" t="s">
        <v>35</v>
      </c>
      <c r="C104" s="4" t="s">
        <v>5</v>
      </c>
      <c r="D104" s="5" t="s">
        <v>92</v>
      </c>
      <c r="E104" s="11">
        <f t="shared" si="15"/>
        <v>9094718</v>
      </c>
      <c r="F104" s="12">
        <f>14006918-4912200</f>
        <v>9094718</v>
      </c>
      <c r="G104" s="12"/>
      <c r="H104" s="12"/>
      <c r="I104" s="12"/>
      <c r="J104" s="11">
        <f t="shared" si="16"/>
        <v>1605000</v>
      </c>
      <c r="K104" s="12">
        <f>1400000+205000</f>
        <v>1605000</v>
      </c>
      <c r="L104" s="12"/>
      <c r="M104" s="12"/>
      <c r="N104" s="12"/>
      <c r="O104" s="12">
        <f>K104</f>
        <v>1605000</v>
      </c>
      <c r="P104" s="13">
        <f t="shared" si="11"/>
        <v>10699718</v>
      </c>
    </row>
    <row r="105" spans="1:16" ht="12.75" hidden="1" customHeight="1" x14ac:dyDescent="0.2">
      <c r="A105" s="41"/>
      <c r="B105" s="4"/>
      <c r="C105" s="4"/>
      <c r="D105" s="35" t="s">
        <v>93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ref="O105:O130" si="17">K105</f>
        <v>0</v>
      </c>
      <c r="P105" s="13">
        <f t="shared" si="11"/>
        <v>0</v>
      </c>
    </row>
    <row r="106" spans="1:16" ht="12.75" hidden="1" customHeight="1" x14ac:dyDescent="0.2">
      <c r="A106" s="41"/>
      <c r="B106" s="4"/>
      <c r="C106" s="4"/>
      <c r="D106" s="5"/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35" t="s">
        <v>475</v>
      </c>
      <c r="E107" s="10"/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6">
        <f t="shared" si="11"/>
        <v>0</v>
      </c>
    </row>
    <row r="108" spans="1:16" ht="25.5" hidden="1" x14ac:dyDescent="0.2">
      <c r="A108" s="41"/>
      <c r="B108" s="4"/>
      <c r="C108" s="4"/>
      <c r="D108" s="35" t="s">
        <v>582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t="25.5" hidden="1" customHeight="1" x14ac:dyDescent="0.2">
      <c r="A109" s="41"/>
      <c r="B109" s="4"/>
      <c r="C109" s="4"/>
      <c r="D109" s="19" t="s">
        <v>473</v>
      </c>
      <c r="E109" s="10">
        <f t="shared" si="15"/>
        <v>0</v>
      </c>
      <c r="F109" s="17"/>
      <c r="G109" s="12"/>
      <c r="H109" s="12"/>
      <c r="I109" s="12"/>
      <c r="J109" s="10">
        <f t="shared" si="16"/>
        <v>0</v>
      </c>
      <c r="K109" s="17"/>
      <c r="L109" s="12"/>
      <c r="M109" s="12"/>
      <c r="N109" s="12"/>
      <c r="O109" s="17">
        <f t="shared" si="17"/>
        <v>0</v>
      </c>
      <c r="P109" s="13">
        <f t="shared" si="11"/>
        <v>0</v>
      </c>
    </row>
    <row r="110" spans="1:16" x14ac:dyDescent="0.2">
      <c r="A110" s="41" t="s">
        <v>201</v>
      </c>
      <c r="B110" s="4" t="s">
        <v>200</v>
      </c>
      <c r="C110" s="4" t="s">
        <v>6</v>
      </c>
      <c r="D110" s="76" t="s">
        <v>94</v>
      </c>
      <c r="E110" s="11">
        <f t="shared" si="15"/>
        <v>17602200</v>
      </c>
      <c r="F110" s="12">
        <f>14054800+4039000-491600</f>
        <v>17602200</v>
      </c>
      <c r="G110" s="12"/>
      <c r="H110" s="12"/>
      <c r="I110" s="12"/>
      <c r="J110" s="11">
        <f t="shared" si="16"/>
        <v>1559800</v>
      </c>
      <c r="K110" s="12">
        <f>400000+668200+491600</f>
        <v>1559800</v>
      </c>
      <c r="L110" s="12"/>
      <c r="M110" s="12"/>
      <c r="N110" s="12"/>
      <c r="O110" s="12">
        <f t="shared" si="17"/>
        <v>1559800</v>
      </c>
      <c r="P110" s="13">
        <f t="shared" si="11"/>
        <v>19162000</v>
      </c>
    </row>
    <row r="111" spans="1:16" hidden="1" x14ac:dyDescent="0.2">
      <c r="A111" s="41"/>
      <c r="B111" s="4"/>
      <c r="C111" s="4"/>
      <c r="D111" s="35" t="s">
        <v>93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idden="1" x14ac:dyDescent="0.2">
      <c r="A112" s="41" t="s">
        <v>204</v>
      </c>
      <c r="B112" s="4" t="s">
        <v>203</v>
      </c>
      <c r="C112" s="4" t="s">
        <v>8</v>
      </c>
      <c r="D112" s="5" t="s">
        <v>202</v>
      </c>
      <c r="E112" s="11">
        <f t="shared" si="15"/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/>
      <c r="B113" s="4"/>
      <c r="C113" s="4"/>
      <c r="D113" s="35" t="s">
        <v>93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t="25.5" hidden="1" x14ac:dyDescent="0.2">
      <c r="A114" s="41"/>
      <c r="B114" s="4"/>
      <c r="C114" s="4"/>
      <c r="D114" s="35" t="s">
        <v>459</v>
      </c>
      <c r="E114" s="11"/>
      <c r="F114" s="12"/>
      <c r="G114" s="12"/>
      <c r="H114" s="12"/>
      <c r="I114" s="12"/>
      <c r="J114" s="10">
        <f t="shared" si="16"/>
        <v>0</v>
      </c>
      <c r="K114" s="17"/>
      <c r="L114" s="12"/>
      <c r="M114" s="12"/>
      <c r="N114" s="12"/>
      <c r="O114" s="17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19" t="s">
        <v>473</v>
      </c>
      <c r="E115" s="10">
        <f>F115</f>
        <v>0</v>
      </c>
      <c r="F115" s="17"/>
      <c r="G115" s="12"/>
      <c r="H115" s="12"/>
      <c r="I115" s="12"/>
      <c r="J115" s="10"/>
      <c r="K115" s="17"/>
      <c r="L115" s="12"/>
      <c r="M115" s="12"/>
      <c r="N115" s="12"/>
      <c r="O115" s="17"/>
      <c r="P115" s="13">
        <f t="shared" si="11"/>
        <v>0</v>
      </c>
    </row>
    <row r="116" spans="1:16" ht="15.75" hidden="1" x14ac:dyDescent="0.25">
      <c r="A116" s="41" t="s">
        <v>541</v>
      </c>
      <c r="B116" s="4" t="s">
        <v>542</v>
      </c>
      <c r="C116" s="4" t="s">
        <v>8</v>
      </c>
      <c r="D116" s="46" t="s">
        <v>543</v>
      </c>
      <c r="E116" s="11">
        <f>F116+I116</f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>K116</f>
        <v>0</v>
      </c>
      <c r="P116" s="13">
        <f t="shared" si="11"/>
        <v>0</v>
      </c>
    </row>
    <row r="117" spans="1:16" s="1" customFormat="1" hidden="1" x14ac:dyDescent="0.2">
      <c r="A117" s="36"/>
      <c r="B117" s="3"/>
      <c r="C117" s="3"/>
      <c r="D117" s="35" t="s">
        <v>93</v>
      </c>
      <c r="E117" s="10">
        <f>F117</f>
        <v>0</v>
      </c>
      <c r="F117" s="17"/>
      <c r="G117" s="17"/>
      <c r="H117" s="17"/>
      <c r="I117" s="17"/>
      <c r="J117" s="10">
        <f t="shared" si="16"/>
        <v>0</v>
      </c>
      <c r="K117" s="17"/>
      <c r="L117" s="17"/>
      <c r="M117" s="17"/>
      <c r="N117" s="17"/>
      <c r="O117" s="17">
        <f>K117</f>
        <v>0</v>
      </c>
      <c r="P117" s="13">
        <f>E117</f>
        <v>0</v>
      </c>
    </row>
    <row r="118" spans="1:16" s="1" customFormat="1" ht="25.5" hidden="1" x14ac:dyDescent="0.2">
      <c r="A118" s="36"/>
      <c r="B118" s="3"/>
      <c r="C118" s="3"/>
      <c r="D118" s="35" t="s">
        <v>459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 t="shared" si="11"/>
        <v>0</v>
      </c>
    </row>
    <row r="119" spans="1:16" s="1" customFormat="1" ht="25.5" hidden="1" x14ac:dyDescent="0.2">
      <c r="A119" s="36"/>
      <c r="B119" s="3"/>
      <c r="C119" s="3"/>
      <c r="D119" s="19" t="s">
        <v>473</v>
      </c>
      <c r="E119" s="10">
        <f>F119</f>
        <v>0</v>
      </c>
      <c r="F119" s="17"/>
      <c r="G119" s="17"/>
      <c r="H119" s="17"/>
      <c r="I119" s="17"/>
      <c r="J119" s="10"/>
      <c r="K119" s="17"/>
      <c r="L119" s="17"/>
      <c r="M119" s="17"/>
      <c r="N119" s="17"/>
      <c r="O119" s="17"/>
      <c r="P119" s="13">
        <f>E119</f>
        <v>0</v>
      </c>
    </row>
    <row r="120" spans="1:16" hidden="1" x14ac:dyDescent="0.2">
      <c r="A120" s="41" t="s">
        <v>209</v>
      </c>
      <c r="B120" s="4" t="s">
        <v>208</v>
      </c>
      <c r="C120" s="4"/>
      <c r="D120" s="14" t="s">
        <v>421</v>
      </c>
      <c r="E120" s="11">
        <f t="shared" ref="E120:E125" si="18">F120+I120</f>
        <v>0</v>
      </c>
      <c r="F120" s="12"/>
      <c r="G120" s="12"/>
      <c r="H120" s="12"/>
      <c r="I120" s="12"/>
      <c r="J120" s="11">
        <f>L120+O120</f>
        <v>0</v>
      </c>
      <c r="K120" s="12"/>
      <c r="L120" s="12"/>
      <c r="M120" s="12"/>
      <c r="N120" s="12">
        <f>N121</f>
        <v>0</v>
      </c>
      <c r="O120" s="12">
        <f t="shared" si="17"/>
        <v>0</v>
      </c>
      <c r="P120" s="13">
        <f t="shared" ref="P120:P150" si="19">E120+J120</f>
        <v>0</v>
      </c>
    </row>
    <row r="121" spans="1:16" ht="25.5" x14ac:dyDescent="0.2">
      <c r="A121" s="41" t="s">
        <v>212</v>
      </c>
      <c r="B121" s="4" t="s">
        <v>211</v>
      </c>
      <c r="C121" s="4" t="s">
        <v>447</v>
      </c>
      <c r="D121" s="14" t="s">
        <v>210</v>
      </c>
      <c r="E121" s="11">
        <f t="shared" si="18"/>
        <v>2111100</v>
      </c>
      <c r="F121" s="12">
        <f>4149100-1792000-46000-200000</f>
        <v>2111100</v>
      </c>
      <c r="G121" s="12"/>
      <c r="H121" s="12"/>
      <c r="I121" s="12"/>
      <c r="J121" s="11">
        <f>L121+O121</f>
        <v>89100</v>
      </c>
      <c r="K121" s="12"/>
      <c r="L121" s="12">
        <v>89100</v>
      </c>
      <c r="M121" s="12"/>
      <c r="N121" s="12"/>
      <c r="O121" s="12">
        <f t="shared" si="17"/>
        <v>0</v>
      </c>
      <c r="P121" s="13">
        <f t="shared" si="19"/>
        <v>2200200</v>
      </c>
    </row>
    <row r="122" spans="1:16" hidden="1" x14ac:dyDescent="0.2">
      <c r="A122" s="41"/>
      <c r="B122" s="4"/>
      <c r="C122" s="4"/>
      <c r="D122" s="35" t="s">
        <v>93</v>
      </c>
      <c r="E122" s="10">
        <f t="shared" si="18"/>
        <v>0</v>
      </c>
      <c r="F122" s="12"/>
      <c r="G122" s="12"/>
      <c r="H122" s="12"/>
      <c r="I122" s="12"/>
      <c r="J122" s="10">
        <f>L122+O122</f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t="25.5" hidden="1" x14ac:dyDescent="0.2">
      <c r="A123" s="41"/>
      <c r="B123" s="4"/>
      <c r="C123" s="4"/>
      <c r="D123" s="35" t="s">
        <v>159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s="1" customFormat="1" hidden="1" x14ac:dyDescent="0.2">
      <c r="A124" s="36"/>
      <c r="B124" s="3"/>
      <c r="C124" s="3"/>
      <c r="D124" s="35" t="s">
        <v>93</v>
      </c>
      <c r="E124" s="10">
        <f t="shared" si="18"/>
        <v>0</v>
      </c>
      <c r="F124" s="17"/>
      <c r="G124" s="17"/>
      <c r="H124" s="17"/>
      <c r="I124" s="17"/>
      <c r="J124" s="10">
        <f>L124+O124</f>
        <v>0</v>
      </c>
      <c r="K124" s="17"/>
      <c r="L124" s="17"/>
      <c r="M124" s="17"/>
      <c r="N124" s="17"/>
      <c r="O124" s="12">
        <f t="shared" si="17"/>
        <v>0</v>
      </c>
      <c r="P124" s="13">
        <f t="shared" si="19"/>
        <v>0</v>
      </c>
    </row>
    <row r="125" spans="1:16" s="1" customFormat="1" ht="25.5" hidden="1" x14ac:dyDescent="0.2">
      <c r="A125" s="36"/>
      <c r="B125" s="3"/>
      <c r="C125" s="3"/>
      <c r="D125" s="35" t="s">
        <v>459</v>
      </c>
      <c r="E125" s="10">
        <f t="shared" si="18"/>
        <v>0</v>
      </c>
      <c r="F125" s="17"/>
      <c r="G125" s="17"/>
      <c r="H125" s="17"/>
      <c r="I125" s="17"/>
      <c r="J125" s="11">
        <f t="shared" si="16"/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207</v>
      </c>
      <c r="B126" s="4" t="s">
        <v>206</v>
      </c>
      <c r="C126" s="4" t="s">
        <v>9</v>
      </c>
      <c r="D126" s="14" t="s">
        <v>205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hidden="1" x14ac:dyDescent="0.2">
      <c r="A127" s="41"/>
      <c r="B127" s="4"/>
      <c r="C127" s="4"/>
      <c r="D127" s="35" t="s">
        <v>93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214</v>
      </c>
      <c r="B128" s="4" t="s">
        <v>36</v>
      </c>
      <c r="C128" s="4"/>
      <c r="D128" s="77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>
        <f>N129+N130+N134</f>
        <v>0</v>
      </c>
      <c r="O128" s="12">
        <f t="shared" si="17"/>
        <v>0</v>
      </c>
      <c r="P128" s="13">
        <f t="shared" si="19"/>
        <v>0</v>
      </c>
    </row>
    <row r="129" spans="1:16" s="1" customFormat="1" hidden="1" x14ac:dyDescent="0.2">
      <c r="A129" s="36" t="s">
        <v>217</v>
      </c>
      <c r="B129" s="3" t="s">
        <v>216</v>
      </c>
      <c r="C129" s="3" t="s">
        <v>10</v>
      </c>
      <c r="D129" s="19" t="s">
        <v>215</v>
      </c>
      <c r="E129" s="10">
        <f t="shared" si="15"/>
        <v>0</v>
      </c>
      <c r="F129" s="10"/>
      <c r="G129" s="10"/>
      <c r="H129" s="10"/>
      <c r="I129" s="10"/>
      <c r="J129" s="11">
        <f t="shared" si="16"/>
        <v>0</v>
      </c>
      <c r="K129" s="10"/>
      <c r="L129" s="10"/>
      <c r="M129" s="10"/>
      <c r="N129" s="10"/>
      <c r="O129" s="17">
        <f t="shared" si="17"/>
        <v>0</v>
      </c>
      <c r="P129" s="13">
        <f t="shared" si="19"/>
        <v>0</v>
      </c>
    </row>
    <row r="130" spans="1:16" x14ac:dyDescent="0.2">
      <c r="A130" s="41" t="s">
        <v>220</v>
      </c>
      <c r="B130" s="4" t="s">
        <v>219</v>
      </c>
      <c r="C130" s="4" t="s">
        <v>10</v>
      </c>
      <c r="D130" s="21" t="s">
        <v>218</v>
      </c>
      <c r="E130" s="11">
        <f t="shared" si="15"/>
        <v>3948808</v>
      </c>
      <c r="F130" s="11">
        <f>4004962-56154</f>
        <v>3948808</v>
      </c>
      <c r="G130" s="11"/>
      <c r="H130" s="11"/>
      <c r="I130" s="11"/>
      <c r="J130" s="11">
        <f t="shared" si="16"/>
        <v>0</v>
      </c>
      <c r="K130" s="11"/>
      <c r="L130" s="11"/>
      <c r="M130" s="11"/>
      <c r="N130" s="11"/>
      <c r="O130" s="12">
        <f t="shared" si="17"/>
        <v>0</v>
      </c>
      <c r="P130" s="13">
        <f t="shared" si="19"/>
        <v>3948808</v>
      </c>
    </row>
    <row r="131" spans="1:16" s="1" customFormat="1" ht="25.5" hidden="1" customHeight="1" x14ac:dyDescent="0.2">
      <c r="A131" s="36"/>
      <c r="B131" s="3"/>
      <c r="C131" s="3"/>
      <c r="D131" s="19" t="s">
        <v>582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576</v>
      </c>
      <c r="E132" s="10">
        <f>F132</f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x14ac:dyDescent="0.2">
      <c r="A133" s="36"/>
      <c r="B133" s="3"/>
      <c r="C133" s="3"/>
      <c r="D133" s="19" t="s">
        <v>637</v>
      </c>
      <c r="E133" s="10">
        <f>F133</f>
        <v>3948808</v>
      </c>
      <c r="F133" s="10">
        <f>F130</f>
        <v>3948808</v>
      </c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3948808</v>
      </c>
    </row>
    <row r="134" spans="1:16" s="1" customFormat="1" hidden="1" x14ac:dyDescent="0.2">
      <c r="A134" s="36" t="s">
        <v>223</v>
      </c>
      <c r="B134" s="3" t="s">
        <v>222</v>
      </c>
      <c r="C134" s="3" t="s">
        <v>10</v>
      </c>
      <c r="D134" s="19" t="s">
        <v>221</v>
      </c>
      <c r="E134" s="10">
        <f>F134+I134</f>
        <v>0</v>
      </c>
      <c r="F134" s="10"/>
      <c r="G134" s="10"/>
      <c r="H134" s="10"/>
      <c r="I134" s="10"/>
      <c r="J134" s="11">
        <f t="shared" si="16"/>
        <v>0</v>
      </c>
      <c r="K134" s="10"/>
      <c r="L134" s="10"/>
      <c r="M134" s="10"/>
      <c r="N134" s="10"/>
      <c r="O134" s="17">
        <f>K134</f>
        <v>0</v>
      </c>
      <c r="P134" s="13">
        <f t="shared" si="19"/>
        <v>0</v>
      </c>
    </row>
    <row r="135" spans="1:16" s="1" customFormat="1" hidden="1" x14ac:dyDescent="0.2">
      <c r="A135" s="36"/>
      <c r="B135" s="3"/>
      <c r="C135" s="3"/>
      <c r="D135" s="19" t="s">
        <v>93</v>
      </c>
      <c r="E135" s="10">
        <f t="shared" si="15"/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474</v>
      </c>
      <c r="E136" s="10"/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hidden="1" x14ac:dyDescent="0.2">
      <c r="A137" s="41" t="s">
        <v>226</v>
      </c>
      <c r="B137" s="4" t="s">
        <v>225</v>
      </c>
      <c r="C137" s="4"/>
      <c r="D137" s="14" t="s">
        <v>224</v>
      </c>
      <c r="E137" s="11">
        <f t="shared" si="15"/>
        <v>0</v>
      </c>
      <c r="F137" s="12"/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0</v>
      </c>
    </row>
    <row r="138" spans="1:16" x14ac:dyDescent="0.2">
      <c r="A138" s="41" t="s">
        <v>394</v>
      </c>
      <c r="B138" s="4" t="s">
        <v>392</v>
      </c>
      <c r="C138" s="4" t="s">
        <v>10</v>
      </c>
      <c r="D138" s="14" t="s">
        <v>396</v>
      </c>
      <c r="E138" s="11">
        <f t="shared" si="15"/>
        <v>2981690</v>
      </c>
      <c r="F138" s="12">
        <f>2931800+49890</f>
        <v>2981690</v>
      </c>
      <c r="G138" s="12"/>
      <c r="H138" s="12"/>
      <c r="I138" s="12"/>
      <c r="J138" s="11">
        <f t="shared" si="16"/>
        <v>69417</v>
      </c>
      <c r="K138" s="12">
        <v>49860</v>
      </c>
      <c r="L138" s="12">
        <v>19557</v>
      </c>
      <c r="M138" s="12"/>
      <c r="N138" s="12"/>
      <c r="O138" s="12">
        <f>K138</f>
        <v>49860</v>
      </c>
      <c r="P138" s="13">
        <f t="shared" si="19"/>
        <v>3051107</v>
      </c>
    </row>
    <row r="139" spans="1:16" x14ac:dyDescent="0.2">
      <c r="A139" s="41" t="s">
        <v>395</v>
      </c>
      <c r="B139" s="4" t="s">
        <v>393</v>
      </c>
      <c r="C139" s="4" t="s">
        <v>10</v>
      </c>
      <c r="D139" s="14" t="s">
        <v>397</v>
      </c>
      <c r="E139" s="11">
        <f t="shared" si="15"/>
        <v>5186400</v>
      </c>
      <c r="F139" s="12">
        <f>7170000-1983600</f>
        <v>5186400</v>
      </c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5186400</v>
      </c>
    </row>
    <row r="140" spans="1:16" ht="12.75" hidden="1" customHeight="1" x14ac:dyDescent="0.2">
      <c r="A140" s="41"/>
      <c r="B140" s="4"/>
      <c r="C140" s="4"/>
      <c r="D140" s="35" t="s">
        <v>93</v>
      </c>
      <c r="E140" s="11">
        <f t="shared" si="15"/>
        <v>0</v>
      </c>
      <c r="F140" s="12"/>
      <c r="G140" s="12"/>
      <c r="H140" s="12"/>
      <c r="I140" s="12"/>
      <c r="J140" s="10">
        <f t="shared" si="16"/>
        <v>0</v>
      </c>
      <c r="K140" s="12"/>
      <c r="L140" s="12"/>
      <c r="M140" s="12"/>
      <c r="N140" s="12"/>
      <c r="O140" s="17">
        <f>K140</f>
        <v>0</v>
      </c>
      <c r="P140" s="16">
        <f t="shared" si="19"/>
        <v>0</v>
      </c>
    </row>
    <row r="141" spans="1:16" s="1" customFormat="1" hidden="1" x14ac:dyDescent="0.2">
      <c r="A141" s="36"/>
      <c r="B141" s="3"/>
      <c r="C141" s="3"/>
      <c r="D141" s="35" t="s">
        <v>475</v>
      </c>
      <c r="E141" s="10">
        <f>F141</f>
        <v>0</v>
      </c>
      <c r="F141" s="17"/>
      <c r="G141" s="17"/>
      <c r="H141" s="17"/>
      <c r="I141" s="17"/>
      <c r="J141" s="10">
        <f t="shared" si="16"/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35" t="s">
        <v>459</v>
      </c>
      <c r="E142" s="10">
        <f t="shared" ref="E142:E147" si="20">F142</f>
        <v>0</v>
      </c>
      <c r="F142" s="17"/>
      <c r="G142" s="17"/>
      <c r="H142" s="17"/>
      <c r="I142" s="17"/>
      <c r="J142" s="10"/>
      <c r="K142" s="17"/>
      <c r="L142" s="17"/>
      <c r="M142" s="17"/>
      <c r="N142" s="17"/>
      <c r="O142" s="17"/>
      <c r="P142" s="16">
        <f t="shared" si="19"/>
        <v>0</v>
      </c>
    </row>
    <row r="143" spans="1:16" ht="25.5" hidden="1" x14ac:dyDescent="0.2">
      <c r="A143" s="41" t="s">
        <v>496</v>
      </c>
      <c r="B143" s="4" t="s">
        <v>484</v>
      </c>
      <c r="C143" s="4"/>
      <c r="D143" s="23" t="s">
        <v>499</v>
      </c>
      <c r="E143" s="10">
        <f t="shared" si="20"/>
        <v>0</v>
      </c>
      <c r="F143" s="11"/>
      <c r="G143" s="11"/>
      <c r="H143" s="11"/>
      <c r="I143" s="11"/>
      <c r="J143" s="11">
        <f t="shared" ref="J143:O143" si="21">J144+J148</f>
        <v>1555197</v>
      </c>
      <c r="K143" s="11"/>
      <c r="L143" s="11"/>
      <c r="M143" s="11"/>
      <c r="N143" s="11">
        <f t="shared" si="21"/>
        <v>0</v>
      </c>
      <c r="O143" s="11">
        <f t="shared" si="21"/>
        <v>1555197</v>
      </c>
      <c r="P143" s="16">
        <f t="shared" si="19"/>
        <v>1555197</v>
      </c>
    </row>
    <row r="144" spans="1:16" s="1" customFormat="1" ht="25.5" hidden="1" x14ac:dyDescent="0.2">
      <c r="A144" s="36" t="s">
        <v>507</v>
      </c>
      <c r="B144" s="3" t="s">
        <v>508</v>
      </c>
      <c r="C144" s="3" t="s">
        <v>124</v>
      </c>
      <c r="D144" s="78" t="s">
        <v>509</v>
      </c>
      <c r="E144" s="10">
        <f t="shared" si="20"/>
        <v>0</v>
      </c>
      <c r="F144" s="10"/>
      <c r="G144" s="10"/>
      <c r="H144" s="10"/>
      <c r="I144" s="10"/>
      <c r="J144" s="11">
        <f t="shared" si="16"/>
        <v>0</v>
      </c>
      <c r="K144" s="11"/>
      <c r="L144" s="11"/>
      <c r="M144" s="11"/>
      <c r="N144" s="11"/>
      <c r="O144" s="12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69" t="s">
        <v>510</v>
      </c>
      <c r="E145" s="10">
        <f t="shared" si="20"/>
        <v>0</v>
      </c>
      <c r="F145" s="10"/>
      <c r="G145" s="10"/>
      <c r="H145" s="10"/>
      <c r="I145" s="10"/>
      <c r="J145" s="10">
        <f t="shared" si="16"/>
        <v>0</v>
      </c>
      <c r="K145" s="10"/>
      <c r="L145" s="10"/>
      <c r="M145" s="10"/>
      <c r="N145" s="10"/>
      <c r="O145" s="17">
        <f>K145</f>
        <v>0</v>
      </c>
      <c r="P145" s="16">
        <f t="shared" si="19"/>
        <v>0</v>
      </c>
    </row>
    <row r="146" spans="1:18" hidden="1" x14ac:dyDescent="0.2">
      <c r="A146" s="41" t="s">
        <v>583</v>
      </c>
      <c r="B146" s="4" t="s">
        <v>409</v>
      </c>
      <c r="C146" s="4" t="s">
        <v>119</v>
      </c>
      <c r="D146" s="72" t="s">
        <v>408</v>
      </c>
      <c r="E146" s="11">
        <f t="shared" si="20"/>
        <v>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2"/>
      <c r="P146" s="13">
        <f t="shared" si="19"/>
        <v>0</v>
      </c>
    </row>
    <row r="147" spans="1:18" s="1" customFormat="1" hidden="1" x14ac:dyDescent="0.2">
      <c r="A147" s="36"/>
      <c r="B147" s="3"/>
      <c r="C147" s="3"/>
      <c r="D147" s="70" t="s">
        <v>475</v>
      </c>
      <c r="E147" s="10">
        <f t="shared" si="20"/>
        <v>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7"/>
      <c r="P147" s="16">
        <f t="shared" si="19"/>
        <v>0</v>
      </c>
    </row>
    <row r="148" spans="1:18" s="1" customFormat="1" ht="25.5" x14ac:dyDescent="0.2">
      <c r="A148" s="36" t="s">
        <v>497</v>
      </c>
      <c r="B148" s="3" t="s">
        <v>498</v>
      </c>
      <c r="C148" s="3" t="s">
        <v>124</v>
      </c>
      <c r="D148" s="77" t="s">
        <v>501</v>
      </c>
      <c r="E148" s="10">
        <f>F148</f>
        <v>0</v>
      </c>
      <c r="F148" s="17"/>
      <c r="G148" s="17"/>
      <c r="H148" s="17"/>
      <c r="I148" s="17"/>
      <c r="J148" s="11">
        <f t="shared" si="16"/>
        <v>1555197</v>
      </c>
      <c r="K148" s="12">
        <f>1162000+347197+46000</f>
        <v>1555197</v>
      </c>
      <c r="L148" s="12"/>
      <c r="M148" s="12"/>
      <c r="N148" s="12"/>
      <c r="O148" s="12">
        <f>K148</f>
        <v>1555197</v>
      </c>
      <c r="P148" s="16">
        <f t="shared" si="19"/>
        <v>1555197</v>
      </c>
    </row>
    <row r="149" spans="1:18" s="1" customFormat="1" ht="25.5" x14ac:dyDescent="0.2">
      <c r="A149" s="36"/>
      <c r="B149" s="3"/>
      <c r="C149" s="3"/>
      <c r="D149" s="35" t="s">
        <v>502</v>
      </c>
      <c r="E149" s="10">
        <f>F149</f>
        <v>0</v>
      </c>
      <c r="F149" s="17"/>
      <c r="G149" s="17"/>
      <c r="H149" s="17"/>
      <c r="I149" s="17"/>
      <c r="J149" s="10">
        <f t="shared" si="16"/>
        <v>347197</v>
      </c>
      <c r="K149" s="17">
        <v>347197</v>
      </c>
      <c r="L149" s="17"/>
      <c r="M149" s="17"/>
      <c r="N149" s="17"/>
      <c r="O149" s="17">
        <f>K149</f>
        <v>347197</v>
      </c>
      <c r="P149" s="16">
        <f t="shared" si="19"/>
        <v>347197</v>
      </c>
    </row>
    <row r="150" spans="1:18" s="1" customFormat="1" hidden="1" x14ac:dyDescent="0.2">
      <c r="A150" s="36" t="s">
        <v>581</v>
      </c>
      <c r="B150" s="3"/>
      <c r="C150" s="3"/>
      <c r="D150" s="72"/>
      <c r="E150" s="10">
        <f>F150</f>
        <v>0</v>
      </c>
      <c r="F150" s="17"/>
      <c r="G150" s="17"/>
      <c r="H150" s="17"/>
      <c r="I150" s="17"/>
      <c r="J150" s="10">
        <f>L150+O150</f>
        <v>0</v>
      </c>
      <c r="K150" s="17"/>
      <c r="L150" s="17"/>
      <c r="M150" s="17"/>
      <c r="N150" s="17"/>
      <c r="O150" s="17">
        <f>K150</f>
        <v>0</v>
      </c>
      <c r="P150" s="16">
        <f t="shared" si="19"/>
        <v>0</v>
      </c>
    </row>
    <row r="151" spans="1:18" ht="25.5" x14ac:dyDescent="0.2">
      <c r="A151" s="62" t="s">
        <v>170</v>
      </c>
      <c r="B151" s="6"/>
      <c r="C151" s="7"/>
      <c r="D151" s="31" t="s">
        <v>11</v>
      </c>
      <c r="E151" s="25">
        <f>E153</f>
        <v>49794300</v>
      </c>
      <c r="F151" s="25">
        <f t="shared" ref="F151:P151" si="22">F153</f>
        <v>49794300</v>
      </c>
      <c r="G151" s="25">
        <f t="shared" si="22"/>
        <v>23063456</v>
      </c>
      <c r="H151" s="25">
        <f t="shared" si="22"/>
        <v>429559</v>
      </c>
      <c r="I151" s="25">
        <f t="shared" si="22"/>
        <v>0</v>
      </c>
      <c r="J151" s="25">
        <f t="shared" si="22"/>
        <v>1125871</v>
      </c>
      <c r="K151" s="25">
        <f>K153</f>
        <v>470000</v>
      </c>
      <c r="L151" s="25">
        <f t="shared" si="22"/>
        <v>655871</v>
      </c>
      <c r="M151" s="25">
        <f t="shared" si="22"/>
        <v>38353</v>
      </c>
      <c r="N151" s="25">
        <f t="shared" si="22"/>
        <v>431800</v>
      </c>
      <c r="O151" s="25">
        <f t="shared" si="22"/>
        <v>470000</v>
      </c>
      <c r="P151" s="25">
        <f t="shared" si="22"/>
        <v>50920171</v>
      </c>
      <c r="R151" s="34"/>
    </row>
    <row r="152" spans="1:18" ht="12" hidden="1" customHeight="1" x14ac:dyDescent="0.2">
      <c r="A152" s="62"/>
      <c r="B152" s="6"/>
      <c r="C152" s="7"/>
      <c r="D152" s="15" t="s">
        <v>475</v>
      </c>
      <c r="E152" s="17">
        <f>E221+E235</f>
        <v>0</v>
      </c>
      <c r="F152" s="17">
        <f>F221+F235</f>
        <v>0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>
        <f t="shared" ref="P152:P170" si="23">E152+J152</f>
        <v>0</v>
      </c>
    </row>
    <row r="153" spans="1:18" ht="25.5" x14ac:dyDescent="0.2">
      <c r="A153" s="41" t="s">
        <v>227</v>
      </c>
      <c r="B153" s="8"/>
      <c r="C153" s="7"/>
      <c r="D153" s="15" t="s">
        <v>11</v>
      </c>
      <c r="E153" s="13">
        <f t="shared" ref="E153:E196" si="24">F153+I153</f>
        <v>49794300</v>
      </c>
      <c r="F153" s="25">
        <f>F154+F156+F158+F163+F165+F172+F173+F174+F175+F177+F179+F181+F183+F185+F187+F189+F193+F197+F199+F201+F203+F205+F207+F210+F212+F213+F215+F216+F218+F220+F222+F225+F226+F231+F234+F237+F233</f>
        <v>49794300</v>
      </c>
      <c r="G153" s="25">
        <f>G154+G156+G158+G163+G165+G172+G173+G174+G175+G177+G179+G181+G183+G185+G187+G189+G193+G197+G199+G201+G203+G205+G207+G210+G212+G213+G215+G216+G218+G220+G222+G225+G226+G231+G234+G237</f>
        <v>23063456</v>
      </c>
      <c r="H153" s="25">
        <f>H154+H156+H158+H163+H165+H172+H173+H174+H175+H177+H179+H181+H183+H185+H187+H189+H193+H197+H199+H201+H203+H205+H207+H210+H212+H213+H215+H216+H218+H220+H222+H225+H226+H231+H234+H237</f>
        <v>429559</v>
      </c>
      <c r="I153" s="25">
        <f>I154+I156+I158+I163+I165+I172+I173+I174+I175+I177+I179+I181+I183+I185+I187+I189+I193+I197+I199+I201+I203+I205+I207+I210+I212+I213+I215+I216+I218+I220+I222+I225+I226+I231+I234+I237</f>
        <v>0</v>
      </c>
      <c r="J153" s="25">
        <f>J154+J212+J234+J233</f>
        <v>1125871</v>
      </c>
      <c r="K153" s="25">
        <f>K154+K234+K233</f>
        <v>470000</v>
      </c>
      <c r="L153" s="25">
        <f>L212</f>
        <v>655871</v>
      </c>
      <c r="M153" s="25">
        <f>M212</f>
        <v>38353</v>
      </c>
      <c r="N153" s="25">
        <f>N212</f>
        <v>431800</v>
      </c>
      <c r="O153" s="25">
        <f>O154+O155+O162+O171+O176+O195+O209+O214+O217+O220+O222+O224+O226+O231+O233+O236+O228+O234</f>
        <v>470000</v>
      </c>
      <c r="P153" s="13">
        <f t="shared" si="23"/>
        <v>50920171</v>
      </c>
    </row>
    <row r="154" spans="1:18" ht="25.5" x14ac:dyDescent="0.2">
      <c r="A154" s="41" t="s">
        <v>228</v>
      </c>
      <c r="B154" s="4" t="s">
        <v>190</v>
      </c>
      <c r="C154" s="4" t="s">
        <v>118</v>
      </c>
      <c r="D154" s="14" t="s">
        <v>603</v>
      </c>
      <c r="E154" s="11">
        <f t="shared" si="24"/>
        <v>25884200</v>
      </c>
      <c r="F154" s="12">
        <f>27552600-1367600-300800</f>
        <v>25884200</v>
      </c>
      <c r="G154" s="12">
        <f>21310000-1367600</f>
        <v>19942400</v>
      </c>
      <c r="H154" s="12">
        <f>283000+23600</f>
        <v>306600</v>
      </c>
      <c r="I154" s="12"/>
      <c r="J154" s="11">
        <f t="shared" ref="J154:J196" si="25">L154+O154</f>
        <v>100000</v>
      </c>
      <c r="K154" s="12">
        <v>100000</v>
      </c>
      <c r="L154" s="12"/>
      <c r="M154" s="12"/>
      <c r="N154" s="12"/>
      <c r="O154" s="12">
        <f>K154</f>
        <v>100000</v>
      </c>
      <c r="P154" s="13">
        <f t="shared" si="23"/>
        <v>25984200</v>
      </c>
    </row>
    <row r="155" spans="1:18" ht="38.25" hidden="1" x14ac:dyDescent="0.2">
      <c r="A155" s="41" t="s">
        <v>229</v>
      </c>
      <c r="B155" s="8" t="s">
        <v>148</v>
      </c>
      <c r="C155" s="20"/>
      <c r="D155" s="5" t="s">
        <v>95</v>
      </c>
      <c r="E155" s="11">
        <f t="shared" si="24"/>
        <v>0</v>
      </c>
      <c r="F155" s="12"/>
      <c r="G155" s="12"/>
      <c r="H155" s="12"/>
      <c r="I155" s="12">
        <f t="shared" ref="I155:O155" si="26">I156+I158</f>
        <v>0</v>
      </c>
      <c r="J155" s="12">
        <f t="shared" si="26"/>
        <v>0</v>
      </c>
      <c r="K155" s="12"/>
      <c r="L155" s="12"/>
      <c r="M155" s="12"/>
      <c r="N155" s="12"/>
      <c r="O155" s="12">
        <f t="shared" si="26"/>
        <v>0</v>
      </c>
      <c r="P155" s="13">
        <f t="shared" si="23"/>
        <v>0</v>
      </c>
    </row>
    <row r="156" spans="1:18" s="1" customFormat="1" ht="25.5" hidden="1" x14ac:dyDescent="0.2">
      <c r="A156" s="36" t="s">
        <v>231</v>
      </c>
      <c r="B156" s="18" t="s">
        <v>37</v>
      </c>
      <c r="C156" s="79" t="s">
        <v>120</v>
      </c>
      <c r="D156" s="80" t="s">
        <v>230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6.75" hidden="1" customHeight="1" x14ac:dyDescent="0.2">
      <c r="A157" s="41"/>
      <c r="B157" s="8"/>
      <c r="C157" s="81"/>
      <c r="D157" s="5" t="s">
        <v>417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s="1" customFormat="1" ht="25.5" hidden="1" x14ac:dyDescent="0.2">
      <c r="A158" s="36" t="s">
        <v>232</v>
      </c>
      <c r="B158" s="18" t="s">
        <v>38</v>
      </c>
      <c r="C158" s="79" t="s">
        <v>58</v>
      </c>
      <c r="D158" s="19" t="s">
        <v>97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8" ht="67.5" hidden="1" customHeight="1" x14ac:dyDescent="0.2">
      <c r="A159" s="41"/>
      <c r="B159" s="8"/>
      <c r="C159" s="81"/>
      <c r="D159" s="5" t="s">
        <v>417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>
        <v>1513017</v>
      </c>
      <c r="B160" s="8" t="s">
        <v>59</v>
      </c>
      <c r="C160" s="20" t="s">
        <v>58</v>
      </c>
      <c r="D160" s="5" t="s">
        <v>60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51" hidden="1" x14ac:dyDescent="0.2">
      <c r="A161" s="41"/>
      <c r="B161" s="8"/>
      <c r="C161" s="20"/>
      <c r="D161" s="5" t="s">
        <v>12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ht="25.5" hidden="1" x14ac:dyDescent="0.2">
      <c r="A162" s="41" t="s">
        <v>233</v>
      </c>
      <c r="B162" s="8" t="s">
        <v>149</v>
      </c>
      <c r="C162" s="20"/>
      <c r="D162" s="5" t="s">
        <v>98</v>
      </c>
      <c r="E162" s="11">
        <f t="shared" si="24"/>
        <v>0</v>
      </c>
      <c r="F162" s="12"/>
      <c r="G162" s="12"/>
      <c r="H162" s="12"/>
      <c r="I162" s="12">
        <f>I163+I165+I167</f>
        <v>0</v>
      </c>
      <c r="J162" s="11">
        <f t="shared" si="25"/>
        <v>0</v>
      </c>
      <c r="K162" s="12"/>
      <c r="L162" s="12"/>
      <c r="M162" s="12"/>
      <c r="N162" s="12"/>
      <c r="O162" s="12">
        <f>O163+O165+O167</f>
        <v>0</v>
      </c>
      <c r="P162" s="13">
        <f t="shared" si="23"/>
        <v>0</v>
      </c>
    </row>
    <row r="163" spans="1:16" s="1" customFormat="1" ht="25.5" hidden="1" x14ac:dyDescent="0.2">
      <c r="A163" s="36" t="s">
        <v>235</v>
      </c>
      <c r="B163" s="18" t="s">
        <v>39</v>
      </c>
      <c r="C163" s="79" t="s">
        <v>120</v>
      </c>
      <c r="D163" s="15" t="s">
        <v>234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.75" hidden="1" customHeight="1" x14ac:dyDescent="0.2">
      <c r="A164" s="41"/>
      <c r="B164" s="8"/>
      <c r="C164" s="81"/>
      <c r="D164" s="5" t="s">
        <v>418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t="25.5" hidden="1" x14ac:dyDescent="0.2">
      <c r="A165" s="36" t="s">
        <v>236</v>
      </c>
      <c r="B165" s="18" t="s">
        <v>40</v>
      </c>
      <c r="C165" s="79" t="s">
        <v>58</v>
      </c>
      <c r="D165" s="19" t="s">
        <v>99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42" hidden="1" customHeight="1" x14ac:dyDescent="0.2">
      <c r="A166" s="41"/>
      <c r="B166" s="8"/>
      <c r="C166" s="81"/>
      <c r="D166" s="5" t="s">
        <v>418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s="1" customFormat="1" hidden="1" x14ac:dyDescent="0.2">
      <c r="A167" s="36" t="s">
        <v>238</v>
      </c>
      <c r="B167" s="18" t="s">
        <v>41</v>
      </c>
      <c r="C167" s="79" t="s">
        <v>58</v>
      </c>
      <c r="D167" s="19" t="s">
        <v>237</v>
      </c>
      <c r="E167" s="11">
        <f t="shared" si="24"/>
        <v>0</v>
      </c>
      <c r="F167" s="17"/>
      <c r="G167" s="17"/>
      <c r="H167" s="17"/>
      <c r="I167" s="17"/>
      <c r="J167" s="11">
        <f t="shared" si="25"/>
        <v>0</v>
      </c>
      <c r="K167" s="17"/>
      <c r="L167" s="17"/>
      <c r="M167" s="17"/>
      <c r="N167" s="17"/>
      <c r="O167" s="17"/>
      <c r="P167" s="13">
        <f t="shared" si="23"/>
        <v>0</v>
      </c>
    </row>
    <row r="168" spans="1:16" ht="38.25" hidden="1" x14ac:dyDescent="0.2">
      <c r="A168" s="41"/>
      <c r="B168" s="8"/>
      <c r="C168" s="81"/>
      <c r="D168" s="5" t="s">
        <v>27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3"/>
        <v>0</v>
      </c>
    </row>
    <row r="169" spans="1:16" ht="38.25" hidden="1" x14ac:dyDescent="0.2">
      <c r="A169" s="41">
        <v>1513028</v>
      </c>
      <c r="B169" s="8" t="s">
        <v>62</v>
      </c>
      <c r="C169" s="4" t="s">
        <v>58</v>
      </c>
      <c r="D169" s="23" t="s">
        <v>100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ht="38.25" hidden="1" x14ac:dyDescent="0.2">
      <c r="A170" s="41"/>
      <c r="B170" s="8"/>
      <c r="C170" s="4"/>
      <c r="D170" s="5" t="s">
        <v>27</v>
      </c>
      <c r="E170" s="11">
        <f t="shared" si="24"/>
        <v>0</v>
      </c>
      <c r="F170" s="12"/>
      <c r="G170" s="12"/>
      <c r="H170" s="12"/>
      <c r="I170" s="12">
        <f>I169</f>
        <v>0</v>
      </c>
      <c r="J170" s="11">
        <f t="shared" si="25"/>
        <v>0</v>
      </c>
      <c r="K170" s="12"/>
      <c r="L170" s="12"/>
      <c r="M170" s="12"/>
      <c r="N170" s="12"/>
      <c r="O170" s="12">
        <f>O169</f>
        <v>0</v>
      </c>
      <c r="P170" s="13">
        <f t="shared" si="23"/>
        <v>0</v>
      </c>
    </row>
    <row r="171" spans="1:16" ht="38.25" hidden="1" x14ac:dyDescent="0.2">
      <c r="A171" s="41" t="s">
        <v>240</v>
      </c>
      <c r="B171" s="8" t="s">
        <v>154</v>
      </c>
      <c r="C171" s="4"/>
      <c r="D171" s="5" t="s">
        <v>239</v>
      </c>
      <c r="E171" s="11">
        <f>SUM(E172:E175)</f>
        <v>796200</v>
      </c>
      <c r="F171" s="11"/>
      <c r="G171" s="11"/>
      <c r="H171" s="11"/>
      <c r="I171" s="11">
        <f>SUM(I172:I175)</f>
        <v>0</v>
      </c>
      <c r="J171" s="11">
        <f>SUM(J172:J175)</f>
        <v>0</v>
      </c>
      <c r="K171" s="11"/>
      <c r="L171" s="11"/>
      <c r="M171" s="11"/>
      <c r="N171" s="11"/>
      <c r="O171" s="11">
        <f>SUM(O172:O175)</f>
        <v>0</v>
      </c>
      <c r="P171" s="13">
        <f>SUM(P172:P175)</f>
        <v>796200</v>
      </c>
    </row>
    <row r="172" spans="1:16" x14ac:dyDescent="0.2">
      <c r="A172" s="41" t="s">
        <v>242</v>
      </c>
      <c r="B172" s="8" t="s">
        <v>155</v>
      </c>
      <c r="C172" s="4" t="s">
        <v>120</v>
      </c>
      <c r="D172" s="5" t="s">
        <v>241</v>
      </c>
      <c r="E172" s="11">
        <f>F172+I172</f>
        <v>184200</v>
      </c>
      <c r="F172" s="12">
        <v>184200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ref="P172:P238" si="27">E172+J172</f>
        <v>184200</v>
      </c>
    </row>
    <row r="173" spans="1:16" x14ac:dyDescent="0.2">
      <c r="A173" s="41" t="s">
        <v>244</v>
      </c>
      <c r="B173" s="8" t="s">
        <v>243</v>
      </c>
      <c r="C173" s="4" t="s">
        <v>26</v>
      </c>
      <c r="D173" s="5" t="s">
        <v>157</v>
      </c>
      <c r="E173" s="11">
        <f>F173+I173</f>
        <v>12000</v>
      </c>
      <c r="F173" s="12">
        <v>12000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12000</v>
      </c>
    </row>
    <row r="174" spans="1:16" ht="25.5" hidden="1" x14ac:dyDescent="0.2">
      <c r="A174" s="41" t="s">
        <v>246</v>
      </c>
      <c r="B174" s="8" t="s">
        <v>156</v>
      </c>
      <c r="C174" s="4" t="s">
        <v>26</v>
      </c>
      <c r="D174" s="5" t="s">
        <v>245</v>
      </c>
      <c r="E174" s="11">
        <f>F174+I174</f>
        <v>0</v>
      </c>
      <c r="F174" s="12"/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25.5" x14ac:dyDescent="0.2">
      <c r="A175" s="41" t="s">
        <v>248</v>
      </c>
      <c r="B175" s="8" t="s">
        <v>247</v>
      </c>
      <c r="C175" s="4" t="s">
        <v>26</v>
      </c>
      <c r="D175" s="5" t="s">
        <v>158</v>
      </c>
      <c r="E175" s="11">
        <f>F175+I175</f>
        <v>600000</v>
      </c>
      <c r="F175" s="12">
        <v>600000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7"/>
        <v>600000</v>
      </c>
    </row>
    <row r="176" spans="1:16" ht="25.5" hidden="1" x14ac:dyDescent="0.2">
      <c r="A176" s="41" t="s">
        <v>249</v>
      </c>
      <c r="B176" s="8" t="s">
        <v>150</v>
      </c>
      <c r="C176" s="20"/>
      <c r="D176" s="14" t="s">
        <v>422</v>
      </c>
      <c r="E176" s="11">
        <f t="shared" si="24"/>
        <v>0</v>
      </c>
      <c r="F176" s="12"/>
      <c r="G176" s="12"/>
      <c r="H176" s="12"/>
      <c r="I176" s="12">
        <f>I177+I179+I181+I183+I185+I187+I189+I191+I193</f>
        <v>0</v>
      </c>
      <c r="J176" s="11">
        <f t="shared" si="25"/>
        <v>0</v>
      </c>
      <c r="K176" s="12"/>
      <c r="L176" s="12"/>
      <c r="M176" s="12"/>
      <c r="N176" s="12"/>
      <c r="O176" s="12">
        <f>O177+O179+O181+O183+O185+O187+O189+O191+O193</f>
        <v>0</v>
      </c>
      <c r="P176" s="13">
        <f t="shared" si="27"/>
        <v>0</v>
      </c>
    </row>
    <row r="177" spans="1:16" hidden="1" x14ac:dyDescent="0.2">
      <c r="A177" s="41" t="s">
        <v>251</v>
      </c>
      <c r="B177" s="8" t="s">
        <v>42</v>
      </c>
      <c r="C177" s="20" t="s">
        <v>3</v>
      </c>
      <c r="D177" s="5" t="s">
        <v>250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252</v>
      </c>
      <c r="B179" s="8" t="s">
        <v>43</v>
      </c>
      <c r="C179" s="20" t="s">
        <v>3</v>
      </c>
      <c r="D179" s="21" t="s">
        <v>105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419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253</v>
      </c>
      <c r="B181" s="8" t="s">
        <v>44</v>
      </c>
      <c r="C181" s="20" t="s">
        <v>3</v>
      </c>
      <c r="D181" s="21" t="s">
        <v>101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419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254</v>
      </c>
      <c r="B183" s="8" t="s">
        <v>45</v>
      </c>
      <c r="C183" s="20" t="s">
        <v>3</v>
      </c>
      <c r="D183" s="23" t="s">
        <v>102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419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255</v>
      </c>
      <c r="B185" s="8" t="s">
        <v>46</v>
      </c>
      <c r="C185" s="20" t="s">
        <v>3</v>
      </c>
      <c r="D185" s="5" t="s">
        <v>103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419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256</v>
      </c>
      <c r="B187" s="8" t="s">
        <v>47</v>
      </c>
      <c r="C187" s="20" t="s">
        <v>3</v>
      </c>
      <c r="D187" s="5" t="s">
        <v>104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419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257</v>
      </c>
      <c r="B189" s="8" t="s">
        <v>48</v>
      </c>
      <c r="C189" s="20" t="s">
        <v>3</v>
      </c>
      <c r="D189" s="47" t="s">
        <v>423</v>
      </c>
      <c r="E189" s="11">
        <f>F189+I189</f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419</v>
      </c>
      <c r="E190" s="11">
        <f>F190+I190</f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idden="1" x14ac:dyDescent="0.2">
      <c r="A191" s="41" t="s">
        <v>259</v>
      </c>
      <c r="B191" s="8" t="s">
        <v>49</v>
      </c>
      <c r="C191" s="20" t="s">
        <v>3</v>
      </c>
      <c r="D191" s="5" t="s">
        <v>258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/>
      <c r="D192" s="5" t="s">
        <v>419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0.25" hidden="1" customHeight="1" x14ac:dyDescent="0.2">
      <c r="A193" s="41" t="s">
        <v>260</v>
      </c>
      <c r="B193" s="8" t="s">
        <v>50</v>
      </c>
      <c r="C193" s="20" t="s">
        <v>3</v>
      </c>
      <c r="D193" s="5" t="s">
        <v>548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 t="s">
        <v>64</v>
      </c>
      <c r="D194" s="5" t="s">
        <v>419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76.5" hidden="1" x14ac:dyDescent="0.2">
      <c r="A195" s="41" t="s">
        <v>261</v>
      </c>
      <c r="B195" s="8" t="s">
        <v>51</v>
      </c>
      <c r="C195" s="20"/>
      <c r="D195" s="5" t="s">
        <v>446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idden="1" x14ac:dyDescent="0.2">
      <c r="A196" s="41"/>
      <c r="B196" s="8"/>
      <c r="C196" s="20"/>
      <c r="D196" s="5"/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435</v>
      </c>
      <c r="B197" s="8" t="s">
        <v>430</v>
      </c>
      <c r="C197" s="20" t="s">
        <v>61</v>
      </c>
      <c r="D197" s="5" t="s">
        <v>440</v>
      </c>
      <c r="E197" s="11">
        <f>F197+J197</f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419</v>
      </c>
      <c r="E198" s="11">
        <f t="shared" ref="E198:E206" si="28"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436</v>
      </c>
      <c r="B199" s="8" t="s">
        <v>431</v>
      </c>
      <c r="C199" s="20" t="s">
        <v>61</v>
      </c>
      <c r="D199" s="5" t="s">
        <v>441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419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437</v>
      </c>
      <c r="B201" s="8" t="s">
        <v>432</v>
      </c>
      <c r="C201" s="20" t="s">
        <v>61</v>
      </c>
      <c r="D201" s="5" t="s">
        <v>442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419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5.5" hidden="1" x14ac:dyDescent="0.2">
      <c r="A203" s="41" t="s">
        <v>438</v>
      </c>
      <c r="B203" s="8" t="s">
        <v>433</v>
      </c>
      <c r="C203" s="20" t="s">
        <v>61</v>
      </c>
      <c r="D203" s="5" t="s">
        <v>443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419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38.25" hidden="1" x14ac:dyDescent="0.2">
      <c r="A205" s="41" t="s">
        <v>439</v>
      </c>
      <c r="B205" s="8" t="s">
        <v>434</v>
      </c>
      <c r="C205" s="20" t="s">
        <v>61</v>
      </c>
      <c r="D205" s="5" t="s">
        <v>444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419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89.25" hidden="1" x14ac:dyDescent="0.2">
      <c r="A207" s="41" t="s">
        <v>545</v>
      </c>
      <c r="B207" s="8" t="s">
        <v>546</v>
      </c>
      <c r="C207" s="20" t="s">
        <v>3</v>
      </c>
      <c r="D207" s="5" t="s">
        <v>549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8"/>
      <c r="C208" s="20"/>
      <c r="D208" s="5" t="s">
        <v>419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5.5" hidden="1" x14ac:dyDescent="0.2">
      <c r="A209" s="41" t="s">
        <v>271</v>
      </c>
      <c r="B209" s="20" t="s">
        <v>152</v>
      </c>
      <c r="C209" s="20" t="s">
        <v>61</v>
      </c>
      <c r="D209" s="21" t="s">
        <v>398</v>
      </c>
      <c r="E209" s="11">
        <f>F209</f>
        <v>0</v>
      </c>
      <c r="F209" s="12"/>
      <c r="G209" s="12"/>
      <c r="H209" s="12"/>
      <c r="I209" s="12">
        <f>SUM(I212:I213)</f>
        <v>0</v>
      </c>
      <c r="J209" s="11">
        <f>L209+O209</f>
        <v>0</v>
      </c>
      <c r="K209" s="12"/>
      <c r="L209" s="12"/>
      <c r="M209" s="12"/>
      <c r="N209" s="12"/>
      <c r="O209" s="12">
        <f>O212+O213</f>
        <v>0</v>
      </c>
      <c r="P209" s="13">
        <f t="shared" si="27"/>
        <v>0</v>
      </c>
    </row>
    <row r="210" spans="1:16" hidden="1" x14ac:dyDescent="0.2">
      <c r="A210" s="41" t="s">
        <v>557</v>
      </c>
      <c r="B210" s="20" t="s">
        <v>559</v>
      </c>
      <c r="C210" s="20" t="s">
        <v>3</v>
      </c>
      <c r="D210" s="21" t="s">
        <v>558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20"/>
      <c r="C211" s="20"/>
      <c r="D211" s="5" t="s">
        <v>419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7.6" customHeight="1" x14ac:dyDescent="0.2">
      <c r="A212" s="41" t="s">
        <v>272</v>
      </c>
      <c r="B212" s="4" t="s">
        <v>53</v>
      </c>
      <c r="C212" s="4" t="s">
        <v>63</v>
      </c>
      <c r="D212" s="5" t="s">
        <v>270</v>
      </c>
      <c r="E212" s="11">
        <f>F212+I212</f>
        <v>2928820</v>
      </c>
      <c r="F212" s="12">
        <f>7807300-4878480</f>
        <v>2928820</v>
      </c>
      <c r="G212" s="12">
        <f>5610000-3400000</f>
        <v>2210000</v>
      </c>
      <c r="H212" s="12">
        <f>132000-61980</f>
        <v>70020</v>
      </c>
      <c r="I212" s="12"/>
      <c r="J212" s="11">
        <f>L212+O212</f>
        <v>655871</v>
      </c>
      <c r="K212" s="12"/>
      <c r="L212" s="12">
        <v>655871</v>
      </c>
      <c r="M212" s="12">
        <v>38353</v>
      </c>
      <c r="N212" s="12">
        <v>431800</v>
      </c>
      <c r="O212" s="12">
        <f>K212</f>
        <v>0</v>
      </c>
      <c r="P212" s="13">
        <f t="shared" si="27"/>
        <v>3584691</v>
      </c>
    </row>
    <row r="213" spans="1:16" hidden="1" x14ac:dyDescent="0.2">
      <c r="A213" s="41" t="s">
        <v>273</v>
      </c>
      <c r="B213" s="4" t="s">
        <v>54</v>
      </c>
      <c r="C213" s="4" t="s">
        <v>61</v>
      </c>
      <c r="D213" s="5" t="s">
        <v>399</v>
      </c>
      <c r="E213" s="11">
        <f>F213+I213</f>
        <v>0</v>
      </c>
      <c r="F213" s="12"/>
      <c r="G213" s="12"/>
      <c r="H213" s="12"/>
      <c r="I213" s="12"/>
      <c r="J213" s="11">
        <f>L213+O213</f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0</v>
      </c>
    </row>
    <row r="214" spans="1:16" hidden="1" x14ac:dyDescent="0.2">
      <c r="A214" s="41" t="s">
        <v>263</v>
      </c>
      <c r="B214" s="4" t="s">
        <v>262</v>
      </c>
      <c r="C214" s="4"/>
      <c r="D214" s="47" t="s">
        <v>15</v>
      </c>
      <c r="E214" s="11">
        <f t="shared" ref="E214:E230" si="29">F214+I214</f>
        <v>0</v>
      </c>
      <c r="F214" s="12"/>
      <c r="G214" s="12"/>
      <c r="H214" s="12"/>
      <c r="I214" s="12"/>
      <c r="J214" s="11">
        <f t="shared" ref="J214:J230" si="30">L214+O214</f>
        <v>0</v>
      </c>
      <c r="K214" s="12"/>
      <c r="L214" s="12"/>
      <c r="M214" s="12"/>
      <c r="N214" s="12"/>
      <c r="O214" s="12">
        <f>SUM(O215:O216)</f>
        <v>0</v>
      </c>
      <c r="P214" s="13">
        <f t="shared" si="27"/>
        <v>0</v>
      </c>
    </row>
    <row r="215" spans="1:16" x14ac:dyDescent="0.2">
      <c r="A215" s="41" t="s">
        <v>265</v>
      </c>
      <c r="B215" s="20" t="s">
        <v>264</v>
      </c>
      <c r="C215" s="20" t="s">
        <v>3</v>
      </c>
      <c r="D215" s="14" t="s">
        <v>607</v>
      </c>
      <c r="E215" s="11">
        <f t="shared" si="29"/>
        <v>1140451</v>
      </c>
      <c r="F215" s="12">
        <f>2711600-1571149</f>
        <v>1140451</v>
      </c>
      <c r="G215" s="12">
        <f>2086000-1206978</f>
        <v>879022</v>
      </c>
      <c r="H215" s="12">
        <f>66600-13661</f>
        <v>52939</v>
      </c>
      <c r="I215" s="12"/>
      <c r="J215" s="11">
        <f t="shared" si="30"/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1140451</v>
      </c>
    </row>
    <row r="216" spans="1:16" hidden="1" x14ac:dyDescent="0.2">
      <c r="A216" s="41" t="s">
        <v>385</v>
      </c>
      <c r="B216" s="20" t="s">
        <v>384</v>
      </c>
      <c r="C216" s="20" t="s">
        <v>3</v>
      </c>
      <c r="D216" s="14" t="s">
        <v>386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 t="s">
        <v>266</v>
      </c>
      <c r="B217" s="20" t="s">
        <v>151</v>
      </c>
      <c r="C217" s="20"/>
      <c r="D217" s="23" t="s">
        <v>145</v>
      </c>
      <c r="E217" s="11">
        <f t="shared" si="29"/>
        <v>0</v>
      </c>
      <c r="F217" s="12"/>
      <c r="G217" s="12"/>
      <c r="H217" s="12"/>
      <c r="I217" s="12">
        <f>I218</f>
        <v>0</v>
      </c>
      <c r="J217" s="11">
        <f t="shared" si="30"/>
        <v>0</v>
      </c>
      <c r="K217" s="12"/>
      <c r="L217" s="12"/>
      <c r="M217" s="12"/>
      <c r="N217" s="12"/>
      <c r="O217" s="12">
        <f>O218</f>
        <v>0</v>
      </c>
      <c r="P217" s="13">
        <f t="shared" si="27"/>
        <v>0</v>
      </c>
    </row>
    <row r="218" spans="1:16" ht="15.75" hidden="1" x14ac:dyDescent="0.25">
      <c r="A218" s="41" t="s">
        <v>268</v>
      </c>
      <c r="B218" s="20" t="s">
        <v>267</v>
      </c>
      <c r="C218" s="20" t="s">
        <v>3</v>
      </c>
      <c r="D218" s="46" t="s">
        <v>138</v>
      </c>
      <c r="E218" s="11">
        <f t="shared" si="29"/>
        <v>0</v>
      </c>
      <c r="F218" s="12"/>
      <c r="G218" s="12"/>
      <c r="H218" s="12"/>
      <c r="I218" s="12"/>
      <c r="J218" s="11">
        <f>L218+O218</f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idden="1" x14ac:dyDescent="0.2">
      <c r="A219" s="41">
        <v>1513500</v>
      </c>
      <c r="B219" s="4" t="s">
        <v>25</v>
      </c>
      <c r="C219" s="4" t="s">
        <v>3</v>
      </c>
      <c r="D219" s="5" t="s">
        <v>132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t="38.25" x14ac:dyDescent="0.2">
      <c r="A220" s="41" t="s">
        <v>269</v>
      </c>
      <c r="B220" s="20" t="s">
        <v>33</v>
      </c>
      <c r="C220" s="20" t="s">
        <v>3</v>
      </c>
      <c r="D220" s="21" t="s">
        <v>88</v>
      </c>
      <c r="E220" s="11">
        <f t="shared" si="29"/>
        <v>1000000</v>
      </c>
      <c r="F220" s="12">
        <v>1000000</v>
      </c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1000000</v>
      </c>
    </row>
    <row r="221" spans="1:16" hidden="1" x14ac:dyDescent="0.2">
      <c r="A221" s="41"/>
      <c r="B221" s="20"/>
      <c r="C221" s="20"/>
      <c r="D221" s="21" t="s">
        <v>475</v>
      </c>
      <c r="E221" s="11"/>
      <c r="F221" s="12"/>
      <c r="G221" s="12"/>
      <c r="H221" s="12"/>
      <c r="I221" s="12"/>
      <c r="J221" s="11"/>
      <c r="K221" s="12"/>
      <c r="L221" s="12"/>
      <c r="M221" s="12"/>
      <c r="N221" s="12"/>
      <c r="O221" s="12"/>
      <c r="P221" s="13">
        <f t="shared" si="27"/>
        <v>0</v>
      </c>
    </row>
    <row r="222" spans="1:16" ht="39.75" customHeight="1" x14ac:dyDescent="0.2">
      <c r="A222" s="41" t="s">
        <v>274</v>
      </c>
      <c r="B222" s="4" t="s">
        <v>52</v>
      </c>
      <c r="C222" s="4" t="s">
        <v>61</v>
      </c>
      <c r="D222" s="5" t="s">
        <v>400</v>
      </c>
      <c r="E222" s="11">
        <f t="shared" si="29"/>
        <v>1000000</v>
      </c>
      <c r="F222" s="12">
        <v>1000000</v>
      </c>
      <c r="G222" s="12"/>
      <c r="H222" s="12"/>
      <c r="I222" s="12">
        <f>SUM(I223)</f>
        <v>0</v>
      </c>
      <c r="J222" s="11">
        <f t="shared" si="30"/>
        <v>0</v>
      </c>
      <c r="K222" s="12"/>
      <c r="L222" s="12"/>
      <c r="M222" s="12"/>
      <c r="N222" s="12"/>
      <c r="O222" s="12">
        <f>SUM(O223)</f>
        <v>0</v>
      </c>
      <c r="P222" s="13">
        <f t="shared" si="27"/>
        <v>1000000</v>
      </c>
    </row>
    <row r="223" spans="1:16" ht="25.5" hidden="1" customHeight="1" x14ac:dyDescent="0.2">
      <c r="A223" s="41" t="s">
        <v>401</v>
      </c>
      <c r="B223" s="4" t="s">
        <v>275</v>
      </c>
      <c r="C223" s="4" t="s">
        <v>61</v>
      </c>
      <c r="D223" s="5" t="s">
        <v>270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402</v>
      </c>
      <c r="B224" s="4" t="s">
        <v>403</v>
      </c>
      <c r="C224" s="4"/>
      <c r="D224" s="5" t="s">
        <v>19</v>
      </c>
      <c r="E224" s="11">
        <f>E225</f>
        <v>600000</v>
      </c>
      <c r="F224" s="11"/>
      <c r="G224" s="11"/>
      <c r="H224" s="11"/>
      <c r="I224" s="11">
        <f t="shared" ref="I224:O224" si="31">I225</f>
        <v>0</v>
      </c>
      <c r="J224" s="11">
        <f t="shared" si="31"/>
        <v>0</v>
      </c>
      <c r="K224" s="11"/>
      <c r="L224" s="11"/>
      <c r="M224" s="11"/>
      <c r="N224" s="11"/>
      <c r="O224" s="11">
        <f t="shared" si="31"/>
        <v>0</v>
      </c>
      <c r="P224" s="13">
        <f t="shared" si="27"/>
        <v>600000</v>
      </c>
    </row>
    <row r="225" spans="1:18" ht="25.5" x14ac:dyDescent="0.2">
      <c r="A225" s="41" t="s">
        <v>404</v>
      </c>
      <c r="B225" s="4" t="s">
        <v>405</v>
      </c>
      <c r="C225" s="4" t="s">
        <v>120</v>
      </c>
      <c r="D225" s="5" t="s">
        <v>608</v>
      </c>
      <c r="E225" s="11">
        <f>F225+I225</f>
        <v>600000</v>
      </c>
      <c r="F225" s="12">
        <v>600000</v>
      </c>
      <c r="G225" s="12"/>
      <c r="H225" s="12"/>
      <c r="I225" s="12"/>
      <c r="J225" s="11">
        <f>L225+O225</f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600000</v>
      </c>
    </row>
    <row r="226" spans="1:18" x14ac:dyDescent="0.2">
      <c r="A226" s="41" t="s">
        <v>406</v>
      </c>
      <c r="B226" s="20" t="s">
        <v>407</v>
      </c>
      <c r="C226" s="20" t="s">
        <v>17</v>
      </c>
      <c r="D226" s="14" t="s">
        <v>18</v>
      </c>
      <c r="E226" s="11">
        <f t="shared" si="29"/>
        <v>200000</v>
      </c>
      <c r="F226" s="12">
        <v>200000</v>
      </c>
      <c r="G226" s="12">
        <f>60000-27966</f>
        <v>32034</v>
      </c>
      <c r="H226" s="12"/>
      <c r="I226" s="12"/>
      <c r="J226" s="11">
        <f t="shared" si="30"/>
        <v>0</v>
      </c>
      <c r="K226" s="12"/>
      <c r="L226" s="12"/>
      <c r="M226" s="12"/>
      <c r="N226" s="12"/>
      <c r="O226" s="12"/>
      <c r="P226" s="13">
        <f t="shared" si="27"/>
        <v>200000</v>
      </c>
    </row>
    <row r="227" spans="1:18" hidden="1" x14ac:dyDescent="0.2">
      <c r="A227" s="41">
        <v>1518600</v>
      </c>
      <c r="B227" s="8" t="s">
        <v>30</v>
      </c>
      <c r="C227" s="4" t="s">
        <v>131</v>
      </c>
      <c r="D227" s="5" t="s">
        <v>132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/>
      <c r="P227" s="13">
        <f t="shared" si="27"/>
        <v>0</v>
      </c>
    </row>
    <row r="228" spans="1:18" ht="25.5" hidden="1" x14ac:dyDescent="0.2">
      <c r="A228" s="41" t="s">
        <v>512</v>
      </c>
      <c r="B228" s="8" t="s">
        <v>513</v>
      </c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102" hidden="1" x14ac:dyDescent="0.2">
      <c r="A229" s="41" t="s">
        <v>514</v>
      </c>
      <c r="B229" s="8" t="s">
        <v>515</v>
      </c>
      <c r="C229" s="4" t="s">
        <v>58</v>
      </c>
      <c r="D229" s="5" t="s">
        <v>517</v>
      </c>
      <c r="E229" s="11">
        <f t="shared" si="29"/>
        <v>0</v>
      </c>
      <c r="F229" s="12"/>
      <c r="G229" s="12"/>
      <c r="H229" s="12"/>
      <c r="I229" s="12"/>
      <c r="J229" s="11">
        <f t="shared" si="30"/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0</v>
      </c>
    </row>
    <row r="230" spans="1:18" ht="117" hidden="1" customHeight="1" x14ac:dyDescent="0.2">
      <c r="A230" s="41"/>
      <c r="B230" s="8"/>
      <c r="C230" s="4"/>
      <c r="D230" s="5" t="s">
        <v>518</v>
      </c>
      <c r="E230" s="11">
        <f t="shared" si="29"/>
        <v>0</v>
      </c>
      <c r="F230" s="12"/>
      <c r="G230" s="12"/>
      <c r="H230" s="12"/>
      <c r="I230" s="12"/>
      <c r="J230" s="11">
        <f t="shared" si="30"/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0</v>
      </c>
    </row>
    <row r="231" spans="1:18" ht="89.25" hidden="1" x14ac:dyDescent="0.2">
      <c r="A231" s="41" t="s">
        <v>445</v>
      </c>
      <c r="B231" s="20" t="s">
        <v>429</v>
      </c>
      <c r="C231" s="20" t="s">
        <v>3</v>
      </c>
      <c r="D231" s="5" t="s">
        <v>547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t="105.6" hidden="1" customHeight="1" x14ac:dyDescent="0.2">
      <c r="A232" s="41"/>
      <c r="B232" s="8"/>
      <c r="C232" s="20"/>
      <c r="D232" s="5" t="s">
        <v>550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t="25.5" x14ac:dyDescent="0.2">
      <c r="A233" s="41" t="s">
        <v>642</v>
      </c>
      <c r="B233" s="4" t="s">
        <v>643</v>
      </c>
      <c r="C233" s="4" t="s">
        <v>119</v>
      </c>
      <c r="D233" s="102" t="s">
        <v>644</v>
      </c>
      <c r="E233" s="11">
        <f>F233+I233</f>
        <v>10192329</v>
      </c>
      <c r="F233" s="12">
        <f>3742700+6449629</f>
        <v>10192329</v>
      </c>
      <c r="G233" s="12"/>
      <c r="H233" s="12"/>
      <c r="I233" s="12"/>
      <c r="J233" s="11">
        <f>L233+O233</f>
        <v>50000</v>
      </c>
      <c r="K233" s="12">
        <v>50000</v>
      </c>
      <c r="L233" s="12"/>
      <c r="M233" s="12"/>
      <c r="N233" s="12"/>
      <c r="O233" s="12">
        <f>K233</f>
        <v>50000</v>
      </c>
      <c r="P233" s="13">
        <f t="shared" si="27"/>
        <v>10242329</v>
      </c>
    </row>
    <row r="234" spans="1:18" x14ac:dyDescent="0.2">
      <c r="A234" s="41" t="s">
        <v>410</v>
      </c>
      <c r="B234" s="4" t="s">
        <v>409</v>
      </c>
      <c r="C234" s="4" t="s">
        <v>119</v>
      </c>
      <c r="D234" s="72" t="s">
        <v>408</v>
      </c>
      <c r="E234" s="11">
        <f>F234+I234</f>
        <v>5982300</v>
      </c>
      <c r="F234" s="12">
        <f>5782300+200000</f>
        <v>5982300</v>
      </c>
      <c r="G234" s="12"/>
      <c r="H234" s="12"/>
      <c r="I234" s="12"/>
      <c r="J234" s="11">
        <f>L234+O234</f>
        <v>320000</v>
      </c>
      <c r="K234" s="12">
        <v>320000</v>
      </c>
      <c r="L234" s="12"/>
      <c r="M234" s="12"/>
      <c r="N234" s="12"/>
      <c r="O234" s="12">
        <f>K234</f>
        <v>320000</v>
      </c>
      <c r="P234" s="13">
        <f t="shared" si="27"/>
        <v>6302300</v>
      </c>
    </row>
    <row r="235" spans="1:18" hidden="1" x14ac:dyDescent="0.2">
      <c r="A235" s="41"/>
      <c r="B235" s="4"/>
      <c r="C235" s="4"/>
      <c r="D235" s="72" t="s">
        <v>475</v>
      </c>
      <c r="E235" s="11">
        <f>F235+I235</f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7"/>
        <v>0</v>
      </c>
    </row>
    <row r="236" spans="1:18" hidden="1" x14ac:dyDescent="0.2">
      <c r="A236" s="41" t="s">
        <v>453</v>
      </c>
      <c r="B236" s="4" t="s">
        <v>183</v>
      </c>
      <c r="C236" s="4"/>
      <c r="D236" s="82" t="s">
        <v>185</v>
      </c>
      <c r="E236" s="11">
        <f>E237</f>
        <v>70000</v>
      </c>
      <c r="F236" s="11"/>
      <c r="G236" s="11"/>
      <c r="H236" s="11"/>
      <c r="I236" s="11">
        <f t="shared" ref="I236:O236" si="32">I237</f>
        <v>0</v>
      </c>
      <c r="J236" s="11">
        <f t="shared" si="32"/>
        <v>0</v>
      </c>
      <c r="K236" s="11">
        <f>K237</f>
        <v>0</v>
      </c>
      <c r="L236" s="11">
        <f t="shared" si="32"/>
        <v>0</v>
      </c>
      <c r="M236" s="11">
        <f t="shared" si="32"/>
        <v>0</v>
      </c>
      <c r="N236" s="11">
        <f t="shared" si="32"/>
        <v>0</v>
      </c>
      <c r="O236" s="11">
        <f t="shared" si="32"/>
        <v>0</v>
      </c>
      <c r="P236" s="13">
        <f t="shared" si="27"/>
        <v>70000</v>
      </c>
    </row>
    <row r="237" spans="1:18" x14ac:dyDescent="0.2">
      <c r="A237" s="41" t="s">
        <v>454</v>
      </c>
      <c r="B237" s="4" t="s">
        <v>187</v>
      </c>
      <c r="C237" s="4" t="s">
        <v>124</v>
      </c>
      <c r="D237" s="82" t="s">
        <v>188</v>
      </c>
      <c r="E237" s="11">
        <f>F237+I237</f>
        <v>70000</v>
      </c>
      <c r="F237" s="12">
        <v>70000</v>
      </c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/>
      <c r="P237" s="13">
        <f t="shared" si="27"/>
        <v>70000</v>
      </c>
    </row>
    <row r="238" spans="1:18" x14ac:dyDescent="0.2">
      <c r="A238" s="62" t="s">
        <v>171</v>
      </c>
      <c r="B238" s="6"/>
      <c r="C238" s="7"/>
      <c r="D238" s="31" t="s">
        <v>66</v>
      </c>
      <c r="E238" s="25">
        <f>E239</f>
        <v>4031400</v>
      </c>
      <c r="F238" s="25">
        <f t="shared" ref="F238:O238" si="33">F239</f>
        <v>4031400</v>
      </c>
      <c r="G238" s="25">
        <f t="shared" si="33"/>
        <v>2868000</v>
      </c>
      <c r="H238" s="25">
        <f t="shared" si="33"/>
        <v>51500</v>
      </c>
      <c r="I238" s="25">
        <f t="shared" si="33"/>
        <v>0</v>
      </c>
      <c r="J238" s="25">
        <f t="shared" si="33"/>
        <v>0</v>
      </c>
      <c r="K238" s="25">
        <f>K239</f>
        <v>0</v>
      </c>
      <c r="L238" s="25">
        <f t="shared" si="33"/>
        <v>0</v>
      </c>
      <c r="M238" s="25">
        <f t="shared" si="33"/>
        <v>0</v>
      </c>
      <c r="N238" s="25">
        <f t="shared" si="33"/>
        <v>0</v>
      </c>
      <c r="O238" s="25">
        <f t="shared" si="33"/>
        <v>0</v>
      </c>
      <c r="P238" s="13">
        <f t="shared" si="27"/>
        <v>4031400</v>
      </c>
      <c r="R238" s="34"/>
    </row>
    <row r="239" spans="1:18" x14ac:dyDescent="0.2">
      <c r="A239" s="41" t="s">
        <v>276</v>
      </c>
      <c r="B239" s="8"/>
      <c r="C239" s="7"/>
      <c r="D239" s="15" t="s">
        <v>66</v>
      </c>
      <c r="E239" s="25">
        <f>E240+E243+E242</f>
        <v>4031400</v>
      </c>
      <c r="F239" s="25">
        <f>F240+F242+F241+F243</f>
        <v>4031400</v>
      </c>
      <c r="G239" s="25">
        <f t="shared" ref="G239:O239" si="34">G240+G242+G241</f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K240+K242+K241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25">
        <f>P240+P242+P241+P243+P242</f>
        <v>4131400</v>
      </c>
    </row>
    <row r="240" spans="1:18" ht="25.5" x14ac:dyDescent="0.2">
      <c r="A240" s="41" t="s">
        <v>277</v>
      </c>
      <c r="B240" s="4" t="s">
        <v>190</v>
      </c>
      <c r="C240" s="4" t="s">
        <v>118</v>
      </c>
      <c r="D240" s="14" t="s">
        <v>603</v>
      </c>
      <c r="E240" s="11">
        <f>F240+I240</f>
        <v>3781400</v>
      </c>
      <c r="F240" s="12">
        <f>3777900+3500</f>
        <v>3781400</v>
      </c>
      <c r="G240" s="12">
        <v>2868000</v>
      </c>
      <c r="H240" s="12">
        <f>48000+3500</f>
        <v>51500</v>
      </c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ref="P240:P257" si="35">E240+J240</f>
        <v>3781400</v>
      </c>
    </row>
    <row r="241" spans="1:18" hidden="1" x14ac:dyDescent="0.2">
      <c r="A241" s="41"/>
      <c r="B241" s="4"/>
      <c r="C241" s="4"/>
      <c r="D241" s="14"/>
      <c r="E241" s="11">
        <f>F241+I241</f>
        <v>0</v>
      </c>
      <c r="F241" s="12"/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35"/>
        <v>0</v>
      </c>
    </row>
    <row r="242" spans="1:18" ht="38.25" x14ac:dyDescent="0.2">
      <c r="A242" s="107" t="s">
        <v>651</v>
      </c>
      <c r="B242" s="8" t="s">
        <v>652</v>
      </c>
      <c r="C242" s="4" t="s">
        <v>3</v>
      </c>
      <c r="D242" s="106" t="s">
        <v>653</v>
      </c>
      <c r="E242" s="11">
        <f>F242+I242</f>
        <v>100000</v>
      </c>
      <c r="F242" s="11">
        <v>100000</v>
      </c>
      <c r="G242" s="11"/>
      <c r="H242" s="11"/>
      <c r="I242" s="11">
        <f t="shared" ref="I242:N242" si="36">I243</f>
        <v>0</v>
      </c>
      <c r="J242" s="11">
        <f>L242+O242</f>
        <v>0</v>
      </c>
      <c r="K242" s="11"/>
      <c r="L242" s="11">
        <f t="shared" si="36"/>
        <v>0</v>
      </c>
      <c r="M242" s="11">
        <f t="shared" si="36"/>
        <v>0</v>
      </c>
      <c r="N242" s="11">
        <f t="shared" si="36"/>
        <v>0</v>
      </c>
      <c r="O242" s="11">
        <f>K242</f>
        <v>0</v>
      </c>
      <c r="P242" s="13">
        <f t="shared" si="35"/>
        <v>100000</v>
      </c>
    </row>
    <row r="243" spans="1:18" ht="15.75" x14ac:dyDescent="0.25">
      <c r="A243" s="41" t="s">
        <v>278</v>
      </c>
      <c r="B243" s="8" t="s">
        <v>165</v>
      </c>
      <c r="C243" s="4" t="s">
        <v>3</v>
      </c>
      <c r="D243" s="46" t="s">
        <v>164</v>
      </c>
      <c r="E243" s="11">
        <f>F243</f>
        <v>150000</v>
      </c>
      <c r="F243" s="12">
        <v>150000</v>
      </c>
      <c r="G243" s="12"/>
      <c r="H243" s="12"/>
      <c r="I243" s="12"/>
      <c r="J243" s="11"/>
      <c r="K243" s="12"/>
      <c r="L243" s="12"/>
      <c r="M243" s="12"/>
      <c r="N243" s="12"/>
      <c r="O243" s="12"/>
      <c r="P243" s="13">
        <f t="shared" si="35"/>
        <v>150000</v>
      </c>
    </row>
    <row r="244" spans="1:18" ht="25.5" x14ac:dyDescent="0.2">
      <c r="A244" s="62">
        <v>1000000</v>
      </c>
      <c r="B244" s="6"/>
      <c r="C244" s="7"/>
      <c r="D244" s="31" t="s">
        <v>601</v>
      </c>
      <c r="E244" s="25">
        <f>E246</f>
        <v>52233800</v>
      </c>
      <c r="F244" s="25">
        <f t="shared" ref="F244:O244" si="37">F246</f>
        <v>52233800</v>
      </c>
      <c r="G244" s="25">
        <f t="shared" si="37"/>
        <v>35352000</v>
      </c>
      <c r="H244" s="25">
        <f t="shared" si="37"/>
        <v>3892100</v>
      </c>
      <c r="I244" s="25">
        <f t="shared" si="37"/>
        <v>0</v>
      </c>
      <c r="J244" s="25">
        <f t="shared" si="37"/>
        <v>7542400</v>
      </c>
      <c r="K244" s="25">
        <f>K246</f>
        <v>4358000</v>
      </c>
      <c r="L244" s="25">
        <f t="shared" si="37"/>
        <v>3184400</v>
      </c>
      <c r="M244" s="25">
        <f t="shared" si="37"/>
        <v>1649600</v>
      </c>
      <c r="N244" s="25">
        <f t="shared" si="37"/>
        <v>0</v>
      </c>
      <c r="O244" s="25">
        <f t="shared" si="37"/>
        <v>4358000</v>
      </c>
      <c r="P244" s="13">
        <f t="shared" si="35"/>
        <v>59776200</v>
      </c>
      <c r="R244" s="34"/>
    </row>
    <row r="245" spans="1:18" hidden="1" x14ac:dyDescent="0.2">
      <c r="A245" s="62"/>
      <c r="B245" s="6"/>
      <c r="C245" s="7"/>
      <c r="D245" s="35" t="s">
        <v>475</v>
      </c>
      <c r="E245" s="25"/>
      <c r="F245" s="25"/>
      <c r="G245" s="25"/>
      <c r="H245" s="25"/>
      <c r="I245" s="25"/>
      <c r="J245" s="17">
        <f>J249</f>
        <v>0</v>
      </c>
      <c r="K245" s="17">
        <f t="shared" ref="K245:P245" si="38">K249</f>
        <v>0</v>
      </c>
      <c r="L245" s="17">
        <f t="shared" si="38"/>
        <v>0</v>
      </c>
      <c r="M245" s="17">
        <f t="shared" si="38"/>
        <v>0</v>
      </c>
      <c r="N245" s="17">
        <f t="shared" si="38"/>
        <v>0</v>
      </c>
      <c r="O245" s="17">
        <f t="shared" si="38"/>
        <v>0</v>
      </c>
      <c r="P245" s="32">
        <f t="shared" si="38"/>
        <v>0</v>
      </c>
    </row>
    <row r="246" spans="1:18" ht="15.75" customHeight="1" x14ac:dyDescent="0.2">
      <c r="A246" s="41" t="s">
        <v>279</v>
      </c>
      <c r="B246" s="8"/>
      <c r="C246" s="7"/>
      <c r="D246" s="15" t="s">
        <v>601</v>
      </c>
      <c r="E246" s="25">
        <f>E247+E248+E251+E253+E254+E256+E257+E250</f>
        <v>52233800</v>
      </c>
      <c r="F246" s="25">
        <f>F247+F248+F251+F253+F254+F256+F257+F250</f>
        <v>52233800</v>
      </c>
      <c r="G246" s="25">
        <f>G247+G248+G251+G253+G254+G256+G257</f>
        <v>35352000</v>
      </c>
      <c r="H246" s="25">
        <f>H247+H248+H251+H253+H254+H256+H257</f>
        <v>3892100</v>
      </c>
      <c r="I246" s="25">
        <f>SUM(I247:I255)</f>
        <v>0</v>
      </c>
      <c r="J246" s="25">
        <f t="shared" ref="J246:O246" si="39">J247+J248+J251+J253+J254+J256+J257</f>
        <v>7542400</v>
      </c>
      <c r="K246" s="25">
        <f t="shared" si="39"/>
        <v>4358000</v>
      </c>
      <c r="L246" s="25">
        <f t="shared" si="39"/>
        <v>3184400</v>
      </c>
      <c r="M246" s="25">
        <f t="shared" si="39"/>
        <v>1649600</v>
      </c>
      <c r="N246" s="25">
        <f t="shared" si="39"/>
        <v>0</v>
      </c>
      <c r="O246" s="25">
        <f t="shared" si="39"/>
        <v>4358000</v>
      </c>
      <c r="P246" s="13">
        <f t="shared" si="35"/>
        <v>59776200</v>
      </c>
    </row>
    <row r="247" spans="1:18" ht="25.5" x14ac:dyDescent="0.2">
      <c r="A247" s="41" t="s">
        <v>280</v>
      </c>
      <c r="B247" s="4" t="s">
        <v>190</v>
      </c>
      <c r="C247" s="4" t="s">
        <v>118</v>
      </c>
      <c r="D247" s="14" t="s">
        <v>603</v>
      </c>
      <c r="E247" s="11">
        <f t="shared" ref="E247:E257" si="40">F247+I247</f>
        <v>2378800</v>
      </c>
      <c r="F247" s="12">
        <f>2429800-51000</f>
        <v>2378800</v>
      </c>
      <c r="G247" s="12">
        <f>1065000+675600</f>
        <v>1740600</v>
      </c>
      <c r="H247" s="12"/>
      <c r="I247" s="12"/>
      <c r="J247" s="11">
        <f t="shared" ref="J247:J257" si="41">L247+O247</f>
        <v>160700</v>
      </c>
      <c r="K247" s="12">
        <f>109700+51000</f>
        <v>160700</v>
      </c>
      <c r="L247" s="12"/>
      <c r="M247" s="12"/>
      <c r="N247" s="12"/>
      <c r="O247" s="12">
        <f t="shared" ref="O247:O257" si="42">K247</f>
        <v>160700</v>
      </c>
      <c r="P247" s="13">
        <f t="shared" si="35"/>
        <v>2539500</v>
      </c>
    </row>
    <row r="248" spans="1:18" x14ac:dyDescent="0.2">
      <c r="A248" s="41" t="s">
        <v>641</v>
      </c>
      <c r="B248" s="98" t="s">
        <v>617</v>
      </c>
      <c r="C248" s="20" t="s">
        <v>136</v>
      </c>
      <c r="D248" s="5" t="s">
        <v>575</v>
      </c>
      <c r="E248" s="11">
        <f>F248+I248</f>
        <v>22349500</v>
      </c>
      <c r="F248" s="12">
        <f>22411400-61900</f>
        <v>22349500</v>
      </c>
      <c r="G248" s="12">
        <v>17326700</v>
      </c>
      <c r="H248" s="12">
        <f>1090000-61900</f>
        <v>1028100</v>
      </c>
      <c r="I248" s="12"/>
      <c r="J248" s="11">
        <f>L248+O248</f>
        <v>2220000</v>
      </c>
      <c r="K248" s="12"/>
      <c r="L248" s="12">
        <v>2220000</v>
      </c>
      <c r="M248" s="12">
        <v>1500000</v>
      </c>
      <c r="N248" s="12"/>
      <c r="O248" s="12">
        <f t="shared" si="42"/>
        <v>0</v>
      </c>
      <c r="P248" s="13">
        <f t="shared" si="35"/>
        <v>24569500</v>
      </c>
    </row>
    <row r="249" spans="1:18" s="1" customFormat="1" hidden="1" x14ac:dyDescent="0.2">
      <c r="A249" s="36"/>
      <c r="B249" s="22"/>
      <c r="C249" s="22"/>
      <c r="D249" s="35" t="s">
        <v>475</v>
      </c>
      <c r="E249" s="10"/>
      <c r="F249" s="17"/>
      <c r="G249" s="17"/>
      <c r="H249" s="17"/>
      <c r="I249" s="17"/>
      <c r="J249" s="10">
        <f>L249+O249</f>
        <v>0</v>
      </c>
      <c r="K249" s="17"/>
      <c r="L249" s="17"/>
      <c r="M249" s="17"/>
      <c r="N249" s="17"/>
      <c r="O249" s="17">
        <f>K249</f>
        <v>0</v>
      </c>
      <c r="P249" s="16">
        <f>E249+J249</f>
        <v>0</v>
      </c>
    </row>
    <row r="250" spans="1:18" ht="15.75" customHeight="1" x14ac:dyDescent="0.2">
      <c r="A250" s="41" t="s">
        <v>636</v>
      </c>
      <c r="B250" s="20" t="s">
        <v>267</v>
      </c>
      <c r="C250" s="27" t="s">
        <v>3</v>
      </c>
      <c r="D250" s="47" t="s">
        <v>138</v>
      </c>
      <c r="E250" s="11">
        <f>F250+I250</f>
        <v>650000</v>
      </c>
      <c r="F250" s="12">
        <v>650000</v>
      </c>
      <c r="G250" s="12"/>
      <c r="H250" s="12"/>
      <c r="I250" s="12"/>
      <c r="J250" s="11">
        <f>L250+O250</f>
        <v>0</v>
      </c>
      <c r="K250" s="12"/>
      <c r="L250" s="12"/>
      <c r="M250" s="12"/>
      <c r="N250" s="12"/>
      <c r="O250" s="12">
        <f>K250</f>
        <v>0</v>
      </c>
      <c r="P250" s="13">
        <f>E250+J250</f>
        <v>650000</v>
      </c>
    </row>
    <row r="251" spans="1:18" x14ac:dyDescent="0.2">
      <c r="A251" s="41" t="s">
        <v>283</v>
      </c>
      <c r="B251" s="20" t="s">
        <v>282</v>
      </c>
      <c r="C251" s="20" t="s">
        <v>67</v>
      </c>
      <c r="D251" s="5" t="s">
        <v>281</v>
      </c>
      <c r="E251" s="11">
        <f t="shared" si="40"/>
        <v>6796500</v>
      </c>
      <c r="F251" s="12">
        <f>6794100+2400</f>
        <v>6796500</v>
      </c>
      <c r="G251" s="12">
        <v>4976700</v>
      </c>
      <c r="H251" s="12">
        <f>480000+2400</f>
        <v>482400</v>
      </c>
      <c r="I251" s="12"/>
      <c r="J251" s="11">
        <f t="shared" si="41"/>
        <v>160000</v>
      </c>
      <c r="K251" s="12">
        <v>100000</v>
      </c>
      <c r="L251" s="12">
        <v>60000</v>
      </c>
      <c r="M251" s="12"/>
      <c r="N251" s="12"/>
      <c r="O251" s="17">
        <f>K251</f>
        <v>100000</v>
      </c>
      <c r="P251" s="13">
        <f t="shared" si="35"/>
        <v>6956500</v>
      </c>
    </row>
    <row r="252" spans="1:18" hidden="1" x14ac:dyDescent="0.2">
      <c r="A252" s="41"/>
      <c r="B252" s="20"/>
      <c r="C252" s="20"/>
      <c r="E252" s="11"/>
      <c r="F252" s="12"/>
      <c r="G252" s="12"/>
      <c r="H252" s="12"/>
      <c r="I252" s="12"/>
      <c r="J252" s="11"/>
      <c r="K252" s="12"/>
      <c r="L252" s="12"/>
      <c r="M252" s="12"/>
      <c r="N252" s="12"/>
      <c r="O252" s="12"/>
      <c r="P252" s="13"/>
    </row>
    <row r="253" spans="1:18" x14ac:dyDescent="0.2">
      <c r="A253" s="41" t="s">
        <v>286</v>
      </c>
      <c r="B253" s="4" t="s">
        <v>285</v>
      </c>
      <c r="C253" s="4" t="s">
        <v>67</v>
      </c>
      <c r="D253" s="14" t="s">
        <v>284</v>
      </c>
      <c r="E253" s="11">
        <f>F253+I253</f>
        <v>4182800</v>
      </c>
      <c r="F253" s="12">
        <f>4182600+200</f>
        <v>4182800</v>
      </c>
      <c r="G253" s="12">
        <v>3003900</v>
      </c>
      <c r="H253" s="12">
        <f>307800+200</f>
        <v>308000</v>
      </c>
      <c r="I253" s="12"/>
      <c r="J253" s="11">
        <f t="shared" si="41"/>
        <v>42400</v>
      </c>
      <c r="K253" s="12"/>
      <c r="L253" s="12">
        <v>42400</v>
      </c>
      <c r="M253" s="12">
        <v>4600</v>
      </c>
      <c r="N253" s="12"/>
      <c r="O253" s="12">
        <f t="shared" si="42"/>
        <v>0</v>
      </c>
      <c r="P253" s="13">
        <f t="shared" si="35"/>
        <v>4225200</v>
      </c>
    </row>
    <row r="254" spans="1:18" ht="25.5" x14ac:dyDescent="0.2">
      <c r="A254" s="41" t="s">
        <v>288</v>
      </c>
      <c r="B254" s="20" t="s">
        <v>55</v>
      </c>
      <c r="C254" s="20" t="s">
        <v>68</v>
      </c>
      <c r="D254" s="21" t="s">
        <v>287</v>
      </c>
      <c r="E254" s="11">
        <f t="shared" si="40"/>
        <v>10122100</v>
      </c>
      <c r="F254" s="12">
        <f>10030100+42000+50000</f>
        <v>10122100</v>
      </c>
      <c r="G254" s="12">
        <v>6344600</v>
      </c>
      <c r="H254" s="12">
        <f>2098600-25000</f>
        <v>2073600</v>
      </c>
      <c r="I254" s="12"/>
      <c r="J254" s="11">
        <f t="shared" si="41"/>
        <v>4862000</v>
      </c>
      <c r="K254" s="12">
        <f>3000000+1000000</f>
        <v>4000000</v>
      </c>
      <c r="L254" s="12">
        <v>862000</v>
      </c>
      <c r="M254" s="12">
        <v>145000</v>
      </c>
      <c r="N254" s="12"/>
      <c r="O254" s="12">
        <f t="shared" si="42"/>
        <v>4000000</v>
      </c>
      <c r="P254" s="13">
        <f t="shared" si="35"/>
        <v>14984100</v>
      </c>
    </row>
    <row r="255" spans="1:18" hidden="1" x14ac:dyDescent="0.2">
      <c r="A255" s="41" t="s">
        <v>291</v>
      </c>
      <c r="B255" s="20" t="s">
        <v>290</v>
      </c>
      <c r="C255" s="20"/>
      <c r="D255" s="5" t="s">
        <v>289</v>
      </c>
      <c r="E255" s="11">
        <f t="shared" si="40"/>
        <v>0</v>
      </c>
      <c r="F255" s="12"/>
      <c r="G255" s="12"/>
      <c r="H255" s="12"/>
      <c r="I255" s="12">
        <f>I256+I257</f>
        <v>0</v>
      </c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0</v>
      </c>
    </row>
    <row r="256" spans="1:18" x14ac:dyDescent="0.2">
      <c r="A256" s="41" t="s">
        <v>413</v>
      </c>
      <c r="B256" s="20" t="s">
        <v>411</v>
      </c>
      <c r="C256" s="20" t="s">
        <v>69</v>
      </c>
      <c r="D256" s="5" t="s">
        <v>415</v>
      </c>
      <c r="E256" s="11">
        <f t="shared" si="40"/>
        <v>2564100</v>
      </c>
      <c r="F256" s="12">
        <f>2594100-30000</f>
        <v>2564100</v>
      </c>
      <c r="G256" s="12">
        <v>1959500</v>
      </c>
      <c r="H256" s="12"/>
      <c r="I256" s="12"/>
      <c r="J256" s="11">
        <f t="shared" si="41"/>
        <v>97300</v>
      </c>
      <c r="K256" s="12">
        <f>67300+30000</f>
        <v>97300</v>
      </c>
      <c r="L256" s="12"/>
      <c r="M256" s="12"/>
      <c r="N256" s="12"/>
      <c r="O256" s="12">
        <f t="shared" si="42"/>
        <v>97300</v>
      </c>
      <c r="P256" s="13">
        <f t="shared" si="35"/>
        <v>2661400</v>
      </c>
    </row>
    <row r="257" spans="1:18" x14ac:dyDescent="0.2">
      <c r="A257" s="41" t="s">
        <v>414</v>
      </c>
      <c r="B257" s="20" t="s">
        <v>412</v>
      </c>
      <c r="C257" s="20" t="s">
        <v>69</v>
      </c>
      <c r="D257" s="5" t="s">
        <v>416</v>
      </c>
      <c r="E257" s="11">
        <f t="shared" si="40"/>
        <v>3190000</v>
      </c>
      <c r="F257" s="12">
        <v>3190000</v>
      </c>
      <c r="G257" s="12"/>
      <c r="H257" s="12"/>
      <c r="I257" s="12"/>
      <c r="J257" s="11">
        <f t="shared" si="41"/>
        <v>0</v>
      </c>
      <c r="K257" s="12"/>
      <c r="L257" s="12"/>
      <c r="M257" s="12"/>
      <c r="N257" s="12"/>
      <c r="O257" s="12">
        <f t="shared" si="42"/>
        <v>0</v>
      </c>
      <c r="P257" s="13">
        <f t="shared" si="35"/>
        <v>3190000</v>
      </c>
    </row>
    <row r="258" spans="1:18" ht="16.149999999999999" customHeight="1" x14ac:dyDescent="0.2">
      <c r="A258" s="62">
        <v>1100000</v>
      </c>
      <c r="B258" s="6"/>
      <c r="C258" s="83"/>
      <c r="D258" s="31" t="s">
        <v>602</v>
      </c>
      <c r="E258" s="25">
        <f>E259</f>
        <v>31145200</v>
      </c>
      <c r="F258" s="25">
        <f>F259</f>
        <v>31145200</v>
      </c>
      <c r="G258" s="25">
        <f>G259</f>
        <v>13935900</v>
      </c>
      <c r="H258" s="25">
        <f>H259</f>
        <v>1528800</v>
      </c>
      <c r="I258" s="25">
        <f>I259</f>
        <v>0</v>
      </c>
      <c r="J258" s="25">
        <f t="shared" ref="J258:P258" si="43">J259</f>
        <v>4287700</v>
      </c>
      <c r="K258" s="25">
        <f>K259</f>
        <v>3473000</v>
      </c>
      <c r="L258" s="25">
        <f t="shared" si="43"/>
        <v>814700</v>
      </c>
      <c r="M258" s="25">
        <f t="shared" si="43"/>
        <v>53800</v>
      </c>
      <c r="N258" s="25">
        <f t="shared" si="43"/>
        <v>137600</v>
      </c>
      <c r="O258" s="25">
        <f t="shared" si="43"/>
        <v>3473000</v>
      </c>
      <c r="P258" s="25">
        <f t="shared" si="43"/>
        <v>35432900</v>
      </c>
      <c r="R258" s="34"/>
    </row>
    <row r="259" spans="1:18" ht="30" customHeight="1" x14ac:dyDescent="0.2">
      <c r="A259" s="41">
        <v>1110000</v>
      </c>
      <c r="B259" s="8"/>
      <c r="C259" s="83"/>
      <c r="D259" s="15" t="s">
        <v>602</v>
      </c>
      <c r="E259" s="25">
        <f>E260+E263+E264+E266+E268+E271+E273+E274</f>
        <v>31145200</v>
      </c>
      <c r="F259" s="25">
        <f>F260+F263+F264+F266+F268+F271+F273+F274</f>
        <v>31145200</v>
      </c>
      <c r="G259" s="25">
        <f>G260+G250+G263+G264+G266+G268+G271+G273+G274</f>
        <v>13935900</v>
      </c>
      <c r="H259" s="25">
        <f>H260+H250+H263+H264+H266+H268+H271+H273+H274</f>
        <v>1528800</v>
      </c>
      <c r="I259" s="25">
        <f>I260+I250+I263+I264+I266+I268+I271+I273+I274</f>
        <v>0</v>
      </c>
      <c r="J259" s="25">
        <f>J260+J268+J271+J274+J273</f>
        <v>4287700</v>
      </c>
      <c r="K259" s="25">
        <f>K260+K261+K262+K267+K270+K265+K272+K271+K274+K273</f>
        <v>3473000</v>
      </c>
      <c r="L259" s="25">
        <f>L260+L261+L262+L267+L270+L265+L272+L271</f>
        <v>814700</v>
      </c>
      <c r="M259" s="25">
        <f>M260+M261+M262+M267+M270+M265+M272+M271</f>
        <v>53800</v>
      </c>
      <c r="N259" s="25">
        <f>N260+N261+N262+N267+N270+N265+N272+N271</f>
        <v>137600</v>
      </c>
      <c r="O259" s="25">
        <f>O260+O261+O262+O267+O270+O265+O272+O271</f>
        <v>3473000</v>
      </c>
      <c r="P259" s="25">
        <f>P260+P263+P264+P266+P268+P271+P273+P274</f>
        <v>35432900</v>
      </c>
    </row>
    <row r="260" spans="1:18" ht="25.5" x14ac:dyDescent="0.2">
      <c r="A260" s="41" t="s">
        <v>292</v>
      </c>
      <c r="B260" s="4" t="s">
        <v>190</v>
      </c>
      <c r="C260" s="26" t="s">
        <v>118</v>
      </c>
      <c r="D260" s="14" t="s">
        <v>603</v>
      </c>
      <c r="E260" s="11">
        <f t="shared" ref="E260:E274" si="44">F260+I260</f>
        <v>2609200</v>
      </c>
      <c r="F260" s="12">
        <f>3571700-824200-138300</f>
        <v>2609200</v>
      </c>
      <c r="G260" s="12">
        <f>2600000-675600</f>
        <v>1924400</v>
      </c>
      <c r="H260" s="12"/>
      <c r="I260" s="12"/>
      <c r="J260" s="11">
        <f>L260+O260</f>
        <v>0</v>
      </c>
      <c r="K260" s="12"/>
      <c r="L260" s="12"/>
      <c r="M260" s="12"/>
      <c r="N260" s="12"/>
      <c r="O260" s="12">
        <f t="shared" ref="O260:O271" si="45">K260</f>
        <v>0</v>
      </c>
      <c r="P260" s="13">
        <f t="shared" ref="P260:P276" si="46">E260+J260</f>
        <v>2609200</v>
      </c>
    </row>
    <row r="261" spans="1:18" hidden="1" x14ac:dyDescent="0.2">
      <c r="A261" s="41" t="s">
        <v>293</v>
      </c>
      <c r="B261" s="20" t="s">
        <v>151</v>
      </c>
      <c r="C261" s="27"/>
      <c r="D261" s="23" t="s">
        <v>145</v>
      </c>
      <c r="E261" s="11">
        <f t="shared" si="44"/>
        <v>0</v>
      </c>
      <c r="F261" s="12"/>
      <c r="G261" s="12"/>
      <c r="H261" s="12"/>
      <c r="I261" s="12"/>
      <c r="J261" s="11">
        <f t="shared" ref="J261:J274" si="47">L261+O261</f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0</v>
      </c>
    </row>
    <row r="262" spans="1:18" ht="15.75" hidden="1" customHeight="1" x14ac:dyDescent="0.2">
      <c r="A262" s="41">
        <v>1115010</v>
      </c>
      <c r="B262" s="20" t="s">
        <v>146</v>
      </c>
      <c r="C262" s="27"/>
      <c r="D262" s="21" t="s">
        <v>20</v>
      </c>
      <c r="E262" s="11">
        <f t="shared" si="44"/>
        <v>0</v>
      </c>
      <c r="F262" s="12"/>
      <c r="G262" s="12"/>
      <c r="H262" s="12"/>
      <c r="I262" s="12">
        <f>SUM(I263:I264)</f>
        <v>0</v>
      </c>
      <c r="J262" s="11">
        <f t="shared" si="47"/>
        <v>0</v>
      </c>
      <c r="K262" s="12">
        <f>SUM(K263:K264)</f>
        <v>0</v>
      </c>
      <c r="L262" s="12">
        <f>SUM(L263:L264)</f>
        <v>0</v>
      </c>
      <c r="M262" s="12">
        <f>SUM(M263:M264)</f>
        <v>0</v>
      </c>
      <c r="N262" s="12">
        <f>SUM(N263:N264)</f>
        <v>0</v>
      </c>
      <c r="O262" s="12">
        <f t="shared" si="45"/>
        <v>0</v>
      </c>
      <c r="P262" s="13">
        <f t="shared" si="46"/>
        <v>0</v>
      </c>
    </row>
    <row r="263" spans="1:18" ht="15.75" customHeight="1" x14ac:dyDescent="0.2">
      <c r="A263" s="41">
        <v>1115011</v>
      </c>
      <c r="B263" s="20" t="s">
        <v>34</v>
      </c>
      <c r="C263" s="27" t="s">
        <v>4</v>
      </c>
      <c r="D263" s="5" t="s">
        <v>89</v>
      </c>
      <c r="E263" s="11">
        <f t="shared" si="44"/>
        <v>1250000</v>
      </c>
      <c r="F263" s="12">
        <f>120000+1130000</f>
        <v>1250000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1250000</v>
      </c>
    </row>
    <row r="264" spans="1:18" ht="19.5" customHeight="1" x14ac:dyDescent="0.2">
      <c r="A264" s="41">
        <v>1115012</v>
      </c>
      <c r="B264" s="20" t="s">
        <v>14</v>
      </c>
      <c r="C264" s="27" t="s">
        <v>4</v>
      </c>
      <c r="D264" s="23" t="s">
        <v>13</v>
      </c>
      <c r="E264" s="11">
        <f t="shared" si="44"/>
        <v>836000</v>
      </c>
      <c r="F264" s="12">
        <f>76000+760000</f>
        <v>836000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836000</v>
      </c>
    </row>
    <row r="265" spans="1:18" ht="15.75" hidden="1" customHeight="1" x14ac:dyDescent="0.2">
      <c r="A265" s="41" t="s">
        <v>380</v>
      </c>
      <c r="B265" s="20" t="s">
        <v>381</v>
      </c>
      <c r="C265" s="27"/>
      <c r="D265" s="23" t="s">
        <v>425</v>
      </c>
      <c r="E265" s="11">
        <f t="shared" si="44"/>
        <v>0</v>
      </c>
      <c r="F265" s="12"/>
      <c r="G265" s="12"/>
      <c r="H265" s="12"/>
      <c r="I265" s="12">
        <f>I266</f>
        <v>0</v>
      </c>
      <c r="J265" s="11">
        <f t="shared" si="47"/>
        <v>0</v>
      </c>
      <c r="K265" s="12">
        <f>K266</f>
        <v>0</v>
      </c>
      <c r="L265" s="12">
        <f>L266</f>
        <v>0</v>
      </c>
      <c r="M265" s="12">
        <f>M266</f>
        <v>0</v>
      </c>
      <c r="N265" s="12">
        <f>N266</f>
        <v>0</v>
      </c>
      <c r="O265" s="12">
        <f t="shared" si="45"/>
        <v>0</v>
      </c>
      <c r="P265" s="13">
        <f t="shared" si="46"/>
        <v>0</v>
      </c>
    </row>
    <row r="266" spans="1:18" ht="26.25" customHeight="1" x14ac:dyDescent="0.2">
      <c r="A266" s="41" t="s">
        <v>383</v>
      </c>
      <c r="B266" s="20" t="s">
        <v>382</v>
      </c>
      <c r="C266" s="27" t="s">
        <v>4</v>
      </c>
      <c r="D266" s="23" t="s">
        <v>426</v>
      </c>
      <c r="E266" s="11">
        <f t="shared" si="44"/>
        <v>14000</v>
      </c>
      <c r="F266" s="12">
        <f>54000-40000</f>
        <v>14000</v>
      </c>
      <c r="G266" s="12"/>
      <c r="H266" s="12"/>
      <c r="I266" s="12"/>
      <c r="J266" s="11">
        <f t="shared" si="47"/>
        <v>0</v>
      </c>
      <c r="K266" s="12"/>
      <c r="L266" s="12"/>
      <c r="M266" s="12"/>
      <c r="N266" s="12"/>
      <c r="O266" s="12">
        <f t="shared" si="45"/>
        <v>0</v>
      </c>
      <c r="P266" s="13">
        <f t="shared" si="46"/>
        <v>14000</v>
      </c>
    </row>
    <row r="267" spans="1:18" hidden="1" x14ac:dyDescent="0.2">
      <c r="A267" s="41">
        <v>1115030</v>
      </c>
      <c r="B267" s="20" t="s">
        <v>147</v>
      </c>
      <c r="C267" s="27"/>
      <c r="D267" s="5" t="s">
        <v>139</v>
      </c>
      <c r="E267" s="11">
        <f t="shared" si="44"/>
        <v>0</v>
      </c>
      <c r="F267" s="12"/>
      <c r="G267" s="12"/>
      <c r="H267" s="12"/>
      <c r="I267" s="12">
        <f t="shared" ref="I267:N267" si="48">SUM(I268)</f>
        <v>0</v>
      </c>
      <c r="J267" s="11">
        <f t="shared" si="47"/>
        <v>3564100</v>
      </c>
      <c r="K267" s="12">
        <f>SUM(K268)</f>
        <v>2818800</v>
      </c>
      <c r="L267" s="12">
        <f t="shared" si="48"/>
        <v>745300</v>
      </c>
      <c r="M267" s="12">
        <f t="shared" si="48"/>
        <v>43700</v>
      </c>
      <c r="N267" s="12">
        <f t="shared" si="48"/>
        <v>119100</v>
      </c>
      <c r="O267" s="12">
        <f t="shared" si="45"/>
        <v>2818800</v>
      </c>
      <c r="P267" s="13">
        <f t="shared" si="46"/>
        <v>3564100</v>
      </c>
    </row>
    <row r="268" spans="1:18" ht="25.5" x14ac:dyDescent="0.2">
      <c r="A268" s="41">
        <v>1115031</v>
      </c>
      <c r="B268" s="20" t="s">
        <v>140</v>
      </c>
      <c r="C268" s="27" t="s">
        <v>4</v>
      </c>
      <c r="D268" s="5" t="s">
        <v>90</v>
      </c>
      <c r="E268" s="11">
        <f t="shared" si="44"/>
        <v>16343700</v>
      </c>
      <c r="F268" s="12">
        <f>15062500+1250000+31200</f>
        <v>16343700</v>
      </c>
      <c r="G268" s="12">
        <f>9892200+820000</f>
        <v>10712200</v>
      </c>
      <c r="H268" s="12">
        <f>1407000+43100</f>
        <v>1450100</v>
      </c>
      <c r="I268" s="12"/>
      <c r="J268" s="11">
        <f t="shared" si="47"/>
        <v>3564100</v>
      </c>
      <c r="K268" s="12">
        <f>2450000+368800</f>
        <v>2818800</v>
      </c>
      <c r="L268" s="12">
        <v>745300</v>
      </c>
      <c r="M268" s="12">
        <v>43700</v>
      </c>
      <c r="N268" s="12">
        <v>119100</v>
      </c>
      <c r="O268" s="12">
        <f t="shared" si="45"/>
        <v>2818800</v>
      </c>
      <c r="P268" s="13">
        <f t="shared" si="46"/>
        <v>19907800</v>
      </c>
    </row>
    <row r="269" spans="1:18" s="1" customFormat="1" ht="18" hidden="1" customHeight="1" x14ac:dyDescent="0.2">
      <c r="A269" s="36"/>
      <c r="B269" s="22"/>
      <c r="C269" s="28"/>
      <c r="D269" s="35" t="s">
        <v>475</v>
      </c>
      <c r="E269" s="10"/>
      <c r="F269" s="17"/>
      <c r="G269" s="17"/>
      <c r="H269" s="17"/>
      <c r="I269" s="17"/>
      <c r="J269" s="10">
        <f>L269+O269</f>
        <v>0</v>
      </c>
      <c r="K269" s="17"/>
      <c r="L269" s="17"/>
      <c r="M269" s="17"/>
      <c r="N269" s="17"/>
      <c r="O269" s="17">
        <f>K269</f>
        <v>0</v>
      </c>
      <c r="P269" s="16">
        <f t="shared" si="46"/>
        <v>0</v>
      </c>
    </row>
    <row r="270" spans="1:18" ht="18.75" hidden="1" customHeight="1" x14ac:dyDescent="0.2">
      <c r="A270" s="41">
        <v>1115040</v>
      </c>
      <c r="B270" s="20" t="s">
        <v>141</v>
      </c>
      <c r="C270" s="27"/>
      <c r="D270" s="5" t="s">
        <v>142</v>
      </c>
      <c r="E270" s="11">
        <f>E271</f>
        <v>7415066</v>
      </c>
      <c r="F270" s="11"/>
      <c r="G270" s="11"/>
      <c r="H270" s="11"/>
      <c r="I270" s="11">
        <f>I271</f>
        <v>0</v>
      </c>
      <c r="J270" s="11">
        <f t="shared" si="47"/>
        <v>0</v>
      </c>
      <c r="K270" s="11"/>
      <c r="L270" s="11"/>
      <c r="M270" s="11"/>
      <c r="N270" s="11"/>
      <c r="O270" s="12">
        <f t="shared" si="45"/>
        <v>0</v>
      </c>
      <c r="P270" s="13">
        <f t="shared" si="46"/>
        <v>7415066</v>
      </c>
    </row>
    <row r="271" spans="1:18" ht="17.25" customHeight="1" x14ac:dyDescent="0.2">
      <c r="A271" s="41">
        <v>1115041</v>
      </c>
      <c r="B271" s="20" t="s">
        <v>143</v>
      </c>
      <c r="C271" s="27" t="s">
        <v>4</v>
      </c>
      <c r="D271" s="5" t="s">
        <v>294</v>
      </c>
      <c r="E271" s="11">
        <f t="shared" si="44"/>
        <v>7415066</v>
      </c>
      <c r="F271" s="12">
        <f>7453400-38334</f>
        <v>7415066</v>
      </c>
      <c r="G271" s="12">
        <f>265100-30145</f>
        <v>234955</v>
      </c>
      <c r="H271" s="12">
        <f>485000-406300</f>
        <v>78700</v>
      </c>
      <c r="I271" s="12"/>
      <c r="J271" s="11">
        <f t="shared" si="47"/>
        <v>303400</v>
      </c>
      <c r="K271" s="12">
        <f>551400+37800-505200+150000</f>
        <v>234000</v>
      </c>
      <c r="L271" s="12">
        <v>69400</v>
      </c>
      <c r="M271" s="12">
        <v>10100</v>
      </c>
      <c r="N271" s="12">
        <v>18500</v>
      </c>
      <c r="O271" s="12">
        <f t="shared" si="45"/>
        <v>234000</v>
      </c>
      <c r="P271" s="13">
        <f t="shared" si="46"/>
        <v>7718466</v>
      </c>
    </row>
    <row r="272" spans="1:18" ht="12.75" hidden="1" customHeight="1" x14ac:dyDescent="0.2">
      <c r="A272" s="41" t="s">
        <v>448</v>
      </c>
      <c r="B272" s="20" t="s">
        <v>450</v>
      </c>
      <c r="C272" s="27"/>
      <c r="D272" s="5" t="s">
        <v>449</v>
      </c>
      <c r="E272" s="11">
        <f>E273+E274</f>
        <v>2677234</v>
      </c>
      <c r="F272" s="11"/>
      <c r="G272" s="11"/>
      <c r="H272" s="11"/>
      <c r="I272" s="11">
        <f t="shared" ref="I272:O272" si="49">I273+I274</f>
        <v>0</v>
      </c>
      <c r="J272" s="11">
        <f t="shared" si="49"/>
        <v>420200</v>
      </c>
      <c r="K272" s="11"/>
      <c r="L272" s="11"/>
      <c r="M272" s="11"/>
      <c r="N272" s="11"/>
      <c r="O272" s="11">
        <f t="shared" si="49"/>
        <v>420200</v>
      </c>
      <c r="P272" s="13">
        <f t="shared" si="46"/>
        <v>3097434</v>
      </c>
    </row>
    <row r="273" spans="1:18" s="1" customFormat="1" ht="25.5" x14ac:dyDescent="0.2">
      <c r="A273" s="36" t="s">
        <v>655</v>
      </c>
      <c r="B273" s="22" t="s">
        <v>656</v>
      </c>
      <c r="C273" s="28" t="s">
        <v>4</v>
      </c>
      <c r="D273" s="5" t="s">
        <v>657</v>
      </c>
      <c r="E273" s="11">
        <f t="shared" si="44"/>
        <v>1679934</v>
      </c>
      <c r="F273" s="17">
        <f>1639934+40000</f>
        <v>1679934</v>
      </c>
      <c r="G273" s="17">
        <v>388345</v>
      </c>
      <c r="H273" s="17"/>
      <c r="I273" s="17"/>
      <c r="J273" s="11">
        <f t="shared" si="47"/>
        <v>355200</v>
      </c>
      <c r="K273" s="17">
        <v>355200</v>
      </c>
      <c r="L273" s="17"/>
      <c r="M273" s="17"/>
      <c r="N273" s="17"/>
      <c r="O273" s="12">
        <f>K273</f>
        <v>355200</v>
      </c>
      <c r="P273" s="16">
        <f t="shared" si="46"/>
        <v>2035134</v>
      </c>
    </row>
    <row r="274" spans="1:18" s="1" customFormat="1" ht="17.25" customHeight="1" x14ac:dyDescent="0.2">
      <c r="A274" s="36" t="s">
        <v>493</v>
      </c>
      <c r="B274" s="22" t="s">
        <v>494</v>
      </c>
      <c r="C274" s="28" t="s">
        <v>4</v>
      </c>
      <c r="D274" s="47" t="s">
        <v>495</v>
      </c>
      <c r="E274" s="11">
        <f t="shared" si="44"/>
        <v>997300</v>
      </c>
      <c r="F274" s="17">
        <f>1998900-1001600</f>
        <v>997300</v>
      </c>
      <c r="G274" s="17">
        <f>1076000-400000</f>
        <v>676000</v>
      </c>
      <c r="H274" s="17"/>
      <c r="I274" s="17"/>
      <c r="J274" s="11">
        <f t="shared" si="47"/>
        <v>65000</v>
      </c>
      <c r="K274" s="17">
        <f>1020200-355200-600000</f>
        <v>65000</v>
      </c>
      <c r="L274" s="17"/>
      <c r="M274" s="17"/>
      <c r="N274" s="17"/>
      <c r="O274" s="12">
        <f>K274</f>
        <v>65000</v>
      </c>
      <c r="P274" s="16">
        <f t="shared" si="46"/>
        <v>1062300</v>
      </c>
    </row>
    <row r="275" spans="1:18" ht="25.5" hidden="1" x14ac:dyDescent="0.2">
      <c r="A275" s="62">
        <v>1200000</v>
      </c>
      <c r="B275" s="6"/>
      <c r="C275" s="7"/>
      <c r="D275" s="31" t="s">
        <v>70</v>
      </c>
      <c r="E275" s="25">
        <f>E277</f>
        <v>0</v>
      </c>
      <c r="F275" s="25">
        <f t="shared" ref="F275:O275" si="50">F277</f>
        <v>0</v>
      </c>
      <c r="G275" s="25">
        <f t="shared" si="50"/>
        <v>0</v>
      </c>
      <c r="H275" s="25">
        <f t="shared" si="50"/>
        <v>0</v>
      </c>
      <c r="I275" s="25">
        <f t="shared" si="50"/>
        <v>0</v>
      </c>
      <c r="J275" s="25">
        <f t="shared" si="50"/>
        <v>0</v>
      </c>
      <c r="K275" s="25">
        <f t="shared" si="50"/>
        <v>0</v>
      </c>
      <c r="L275" s="25">
        <f t="shared" si="50"/>
        <v>0</v>
      </c>
      <c r="M275" s="25">
        <f t="shared" si="50"/>
        <v>0</v>
      </c>
      <c r="N275" s="25">
        <f t="shared" si="50"/>
        <v>0</v>
      </c>
      <c r="O275" s="25">
        <f t="shared" si="50"/>
        <v>0</v>
      </c>
      <c r="P275" s="13">
        <f t="shared" si="46"/>
        <v>0</v>
      </c>
      <c r="R275" s="34"/>
    </row>
    <row r="276" spans="1:18" s="1" customFormat="1" hidden="1" x14ac:dyDescent="0.2">
      <c r="A276" s="36"/>
      <c r="B276" s="18"/>
      <c r="C276" s="3"/>
      <c r="D276" s="15" t="s">
        <v>475</v>
      </c>
      <c r="E276" s="25">
        <f>F276+I276</f>
        <v>0</v>
      </c>
      <c r="F276" s="17">
        <f>F291+F299</f>
        <v>0</v>
      </c>
      <c r="G276" s="17"/>
      <c r="H276" s="17"/>
      <c r="I276" s="17"/>
      <c r="J276" s="17">
        <f>K276+L276</f>
        <v>0</v>
      </c>
      <c r="K276" s="17">
        <f>K282+K287</f>
        <v>0</v>
      </c>
      <c r="L276" s="17"/>
      <c r="M276" s="17"/>
      <c r="N276" s="17"/>
      <c r="O276" s="17">
        <f>K276</f>
        <v>0</v>
      </c>
      <c r="P276" s="16">
        <f t="shared" si="46"/>
        <v>0</v>
      </c>
    </row>
    <row r="277" spans="1:18" ht="25.5" hidden="1" x14ac:dyDescent="0.2">
      <c r="A277" s="41" t="s">
        <v>295</v>
      </c>
      <c r="B277" s="8"/>
      <c r="C277" s="7"/>
      <c r="D277" s="15" t="s">
        <v>108</v>
      </c>
      <c r="E277" s="25">
        <f>E278+E279+E280+E289+E290+E336+E286+E296+E367+E301+E302+E368+E293+E292+E303+E288+E304+E297+E283</f>
        <v>0</v>
      </c>
      <c r="F277" s="40">
        <f>F278+F279+F280+F289+F290+F336+F286+F296+F367+F301+F302+F368+F293+F292+F303+F288+F304+F297+F283</f>
        <v>0</v>
      </c>
      <c r="G277" s="25">
        <f>G278+G279+G280+G289+G290+G336+G286+G296+G367+G301+G302+G368+G293+G292+G303+G288+G304+G297</f>
        <v>0</v>
      </c>
      <c r="H277" s="25">
        <f>H278+H279+H280+H289+H290+H336+H286+H296+H367+H301+H302+H368+H293+H292+H303+H288+H304+H297</f>
        <v>0</v>
      </c>
      <c r="I277" s="25">
        <f>I278+I279+I280+I289+I290+I336+I286+I296+I367+I301+I302+I368+I293+I292+I303+I288+I304+I297</f>
        <v>0</v>
      </c>
      <c r="J277" s="25">
        <f>J278</f>
        <v>0</v>
      </c>
      <c r="K277" s="29">
        <f>K278</f>
        <v>0</v>
      </c>
      <c r="L277" s="25">
        <f>L278+L279+L280+L289+L290+L336+L286+L296+L367+L301+L302+L368+L293+L292+L288+L332+L281+L295</f>
        <v>0</v>
      </c>
      <c r="M277" s="25">
        <f>M278+M279+M280+M289+M290+M336+M286+M296+M367+M301+M302+M368+M293+M292+M288+M332+M281+M295</f>
        <v>0</v>
      </c>
      <c r="N277" s="25">
        <f>N278+N279+N280+N289+N290+N336+N286+N296+N367+N301+N302+N368+N293+N292+N288+N332+N281+N295</f>
        <v>0</v>
      </c>
      <c r="O277" s="29">
        <f>O278</f>
        <v>0</v>
      </c>
      <c r="P277" s="25">
        <f>P278</f>
        <v>0</v>
      </c>
    </row>
    <row r="278" spans="1:18" ht="25.5" hidden="1" x14ac:dyDescent="0.2">
      <c r="A278" s="41" t="s">
        <v>296</v>
      </c>
      <c r="B278" s="4" t="s">
        <v>190</v>
      </c>
      <c r="C278" s="4" t="s">
        <v>118</v>
      </c>
      <c r="D278" s="14" t="s">
        <v>603</v>
      </c>
      <c r="E278" s="11">
        <f t="shared" ref="E278:E300" si="51">F278+I278</f>
        <v>0</v>
      </c>
      <c r="F278" s="12"/>
      <c r="G278" s="12"/>
      <c r="H278" s="12"/>
      <c r="I278" s="12"/>
      <c r="J278" s="11">
        <f>L278+O278</f>
        <v>0</v>
      </c>
      <c r="K278" s="12"/>
      <c r="L278" s="12"/>
      <c r="M278" s="12"/>
      <c r="N278" s="12"/>
      <c r="O278" s="12">
        <f t="shared" ref="O278:O302" si="52">K278</f>
        <v>0</v>
      </c>
      <c r="P278" s="13">
        <f t="shared" ref="P278:P293" si="53">E278+J278</f>
        <v>0</v>
      </c>
    </row>
    <row r="279" spans="1:18" ht="25.5" hidden="1" x14ac:dyDescent="0.2">
      <c r="A279" s="41">
        <v>4016010</v>
      </c>
      <c r="B279" s="4" t="s">
        <v>56</v>
      </c>
      <c r="C279" s="4" t="s">
        <v>121</v>
      </c>
      <c r="D279" s="75" t="s">
        <v>77</v>
      </c>
      <c r="E279" s="11">
        <f t="shared" si="51"/>
        <v>0</v>
      </c>
      <c r="F279" s="12"/>
      <c r="G279" s="12"/>
      <c r="H279" s="12"/>
      <c r="I279" s="12"/>
      <c r="J279" s="11">
        <f t="shared" ref="J279:J300" si="54">L279+O279</f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8" hidden="1" x14ac:dyDescent="0.2">
      <c r="A280" s="41" t="s">
        <v>298</v>
      </c>
      <c r="B280" s="4" t="s">
        <v>56</v>
      </c>
      <c r="C280" s="4"/>
      <c r="D280" s="84" t="s">
        <v>297</v>
      </c>
      <c r="E280" s="11">
        <f t="shared" si="51"/>
        <v>0</v>
      </c>
      <c r="F280" s="11"/>
      <c r="G280" s="11"/>
      <c r="H280" s="11"/>
      <c r="I280" s="11">
        <f>I281+I284+I285+I283+I332</f>
        <v>0</v>
      </c>
      <c r="J280" s="11">
        <f t="shared" si="54"/>
        <v>0</v>
      </c>
      <c r="K280" s="11"/>
      <c r="L280" s="11"/>
      <c r="M280" s="11"/>
      <c r="N280" s="11">
        <f>N281+N284+N285+N283+N332</f>
        <v>0</v>
      </c>
      <c r="O280" s="12">
        <f t="shared" si="52"/>
        <v>0</v>
      </c>
      <c r="P280" s="13">
        <f t="shared" si="53"/>
        <v>0</v>
      </c>
    </row>
    <row r="281" spans="1:18" s="1" customFormat="1" hidden="1" x14ac:dyDescent="0.2">
      <c r="A281" s="36" t="s">
        <v>301</v>
      </c>
      <c r="B281" s="3" t="s">
        <v>300</v>
      </c>
      <c r="C281" s="3" t="s">
        <v>121</v>
      </c>
      <c r="D281" s="19" t="s">
        <v>299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/>
      <c r="B282" s="3"/>
      <c r="C282" s="3"/>
      <c r="D282" s="15" t="s">
        <v>475</v>
      </c>
      <c r="E282" s="10"/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hidden="1" x14ac:dyDescent="0.2">
      <c r="A283" s="41" t="s">
        <v>455</v>
      </c>
      <c r="B283" s="4" t="s">
        <v>456</v>
      </c>
      <c r="C283" s="4" t="s">
        <v>71</v>
      </c>
      <c r="D283" s="21" t="s">
        <v>457</v>
      </c>
      <c r="E283" s="11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2"/>
        <v>0</v>
      </c>
      <c r="P283" s="13">
        <f t="shared" si="53"/>
        <v>0</v>
      </c>
    </row>
    <row r="284" spans="1:18" s="1" customFormat="1" hidden="1" x14ac:dyDescent="0.2">
      <c r="A284" s="36" t="s">
        <v>303</v>
      </c>
      <c r="B284" s="3" t="s">
        <v>302</v>
      </c>
      <c r="C284" s="3" t="s">
        <v>71</v>
      </c>
      <c r="D284" s="19" t="s">
        <v>304</v>
      </c>
      <c r="E284" s="10">
        <f t="shared" si="51"/>
        <v>0</v>
      </c>
      <c r="F284" s="17"/>
      <c r="G284" s="17"/>
      <c r="H284" s="17"/>
      <c r="I284" s="17"/>
      <c r="J284" s="11">
        <f t="shared" si="54"/>
        <v>0</v>
      </c>
      <c r="K284" s="17"/>
      <c r="L284" s="17"/>
      <c r="M284" s="17"/>
      <c r="N284" s="17"/>
      <c r="O284" s="12">
        <f t="shared" si="52"/>
        <v>0</v>
      </c>
      <c r="P284" s="13">
        <f t="shared" si="53"/>
        <v>0</v>
      </c>
    </row>
    <row r="285" spans="1:18" s="1" customFormat="1" ht="25.5" hidden="1" x14ac:dyDescent="0.2">
      <c r="A285" s="36" t="s">
        <v>308</v>
      </c>
      <c r="B285" s="3" t="s">
        <v>309</v>
      </c>
      <c r="C285" s="3" t="s">
        <v>71</v>
      </c>
      <c r="D285" s="19" t="s">
        <v>162</v>
      </c>
      <c r="E285" s="10">
        <f t="shared" si="51"/>
        <v>0</v>
      </c>
      <c r="F285" s="17"/>
      <c r="G285" s="17"/>
      <c r="H285" s="17"/>
      <c r="I285" s="17"/>
      <c r="J285" s="11">
        <f t="shared" si="54"/>
        <v>0</v>
      </c>
      <c r="K285" s="17"/>
      <c r="L285" s="17"/>
      <c r="M285" s="17"/>
      <c r="N285" s="17"/>
      <c r="O285" s="12">
        <f t="shared" si="52"/>
        <v>0</v>
      </c>
      <c r="P285" s="13">
        <f t="shared" si="53"/>
        <v>0</v>
      </c>
    </row>
    <row r="286" spans="1:18" ht="29.25" hidden="1" customHeight="1" x14ac:dyDescent="0.2">
      <c r="A286" s="41" t="s">
        <v>313</v>
      </c>
      <c r="B286" s="85">
        <v>6020</v>
      </c>
      <c r="C286" s="4" t="s">
        <v>71</v>
      </c>
      <c r="D286" s="5" t="s">
        <v>312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s="1" customFormat="1" hidden="1" x14ac:dyDescent="0.2">
      <c r="A287" s="36"/>
      <c r="B287" s="86"/>
      <c r="C287" s="3"/>
      <c r="D287" s="15" t="s">
        <v>475</v>
      </c>
      <c r="E287" s="10">
        <f t="shared" si="51"/>
        <v>0</v>
      </c>
      <c r="F287" s="17"/>
      <c r="G287" s="17"/>
      <c r="H287" s="17"/>
      <c r="I287" s="17"/>
      <c r="J287" s="10">
        <f t="shared" si="54"/>
        <v>0</v>
      </c>
      <c r="K287" s="17"/>
      <c r="L287" s="17"/>
      <c r="M287" s="17"/>
      <c r="N287" s="17"/>
      <c r="O287" s="17">
        <f>K287</f>
        <v>0</v>
      </c>
      <c r="P287" s="16">
        <f>E287+J287</f>
        <v>0</v>
      </c>
    </row>
    <row r="288" spans="1:18" ht="25.5" hidden="1" x14ac:dyDescent="0.2">
      <c r="A288" s="41" t="s">
        <v>313</v>
      </c>
      <c r="B288" s="85">
        <v>6020</v>
      </c>
      <c r="C288" s="4" t="s">
        <v>71</v>
      </c>
      <c r="D288" s="15" t="s">
        <v>312</v>
      </c>
      <c r="E288" s="10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>E288+J288</f>
        <v>0</v>
      </c>
    </row>
    <row r="289" spans="1:16" ht="15" hidden="1" customHeight="1" x14ac:dyDescent="0.2">
      <c r="A289" s="41" t="s">
        <v>307</v>
      </c>
      <c r="B289" s="4" t="s">
        <v>306</v>
      </c>
      <c r="C289" s="4" t="s">
        <v>71</v>
      </c>
      <c r="D289" s="21" t="s">
        <v>305</v>
      </c>
      <c r="E289" s="11">
        <f t="shared" si="51"/>
        <v>0</v>
      </c>
      <c r="F289" s="87"/>
      <c r="G289" s="87"/>
      <c r="H289" s="87"/>
      <c r="I289" s="30"/>
      <c r="J289" s="11">
        <f t="shared" si="54"/>
        <v>0</v>
      </c>
      <c r="K289" s="30"/>
      <c r="L289" s="30"/>
      <c r="M289" s="30"/>
      <c r="N289" s="30"/>
      <c r="O289" s="30">
        <f>K289</f>
        <v>0</v>
      </c>
      <c r="P289" s="13">
        <f t="shared" si="53"/>
        <v>0</v>
      </c>
    </row>
    <row r="290" spans="1:16" ht="29.25" hidden="1" customHeight="1" x14ac:dyDescent="0.2">
      <c r="A290" s="41">
        <v>4016100</v>
      </c>
      <c r="B290" s="81" t="s">
        <v>161</v>
      </c>
      <c r="C290" s="81" t="s">
        <v>71</v>
      </c>
      <c r="D290" s="23" t="s">
        <v>162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>K290</f>
        <v>0</v>
      </c>
      <c r="P290" s="13">
        <f t="shared" si="53"/>
        <v>0</v>
      </c>
    </row>
    <row r="291" spans="1:16" hidden="1" x14ac:dyDescent="0.2">
      <c r="A291" s="41"/>
      <c r="B291" s="81"/>
      <c r="C291" s="81"/>
      <c r="D291" s="15" t="s">
        <v>475</v>
      </c>
      <c r="E291" s="10">
        <f t="shared" si="51"/>
        <v>0</v>
      </c>
      <c r="F291" s="17"/>
      <c r="G291" s="12"/>
      <c r="H291" s="12"/>
      <c r="I291" s="12"/>
      <c r="J291" s="11"/>
      <c r="K291" s="12"/>
      <c r="L291" s="12"/>
      <c r="M291" s="12"/>
      <c r="N291" s="12"/>
      <c r="O291" s="12"/>
      <c r="P291" s="16">
        <f t="shared" si="53"/>
        <v>0</v>
      </c>
    </row>
    <row r="292" spans="1:16" ht="15.75" hidden="1" x14ac:dyDescent="0.25">
      <c r="A292" s="41" t="s">
        <v>311</v>
      </c>
      <c r="B292" s="81" t="s">
        <v>310</v>
      </c>
      <c r="C292" s="81" t="s">
        <v>71</v>
      </c>
      <c r="D292" s="46" t="s">
        <v>166</v>
      </c>
      <c r="E292" s="11">
        <f t="shared" si="51"/>
        <v>0</v>
      </c>
      <c r="F292" s="12"/>
      <c r="G292" s="12"/>
      <c r="H292" s="12"/>
      <c r="I292" s="12"/>
      <c r="J292" s="11">
        <f t="shared" si="54"/>
        <v>0</v>
      </c>
      <c r="K292" s="12"/>
      <c r="L292" s="12"/>
      <c r="M292" s="12"/>
      <c r="N292" s="12"/>
      <c r="O292" s="12">
        <f t="shared" si="52"/>
        <v>0</v>
      </c>
      <c r="P292" s="13">
        <f t="shared" si="53"/>
        <v>0</v>
      </c>
    </row>
    <row r="293" spans="1:16" hidden="1" x14ac:dyDescent="0.2">
      <c r="A293" s="41" t="s">
        <v>316</v>
      </c>
      <c r="B293" s="85">
        <v>6070</v>
      </c>
      <c r="C293" s="4"/>
      <c r="D293" s="23" t="s">
        <v>314</v>
      </c>
      <c r="E293" s="11">
        <f>F293+I293</f>
        <v>0</v>
      </c>
      <c r="F293" s="12"/>
      <c r="G293" s="12"/>
      <c r="H293" s="12"/>
      <c r="I293" s="12">
        <f>I294</f>
        <v>0</v>
      </c>
      <c r="J293" s="11">
        <f t="shared" si="54"/>
        <v>0</v>
      </c>
      <c r="K293" s="12"/>
      <c r="L293" s="12"/>
      <c r="M293" s="12"/>
      <c r="N293" s="12">
        <f>N294</f>
        <v>0</v>
      </c>
      <c r="O293" s="12">
        <f t="shared" si="52"/>
        <v>0</v>
      </c>
      <c r="P293" s="13">
        <f t="shared" si="53"/>
        <v>0</v>
      </c>
    </row>
    <row r="294" spans="1:16" s="1" customFormat="1" ht="114.75" hidden="1" x14ac:dyDescent="0.2">
      <c r="A294" s="36" t="s">
        <v>317</v>
      </c>
      <c r="B294" s="86">
        <v>6072</v>
      </c>
      <c r="C294" s="3" t="s">
        <v>163</v>
      </c>
      <c r="D294" s="69" t="s">
        <v>315</v>
      </c>
      <c r="E294" s="10">
        <f>F294+I294</f>
        <v>0</v>
      </c>
      <c r="F294" s="17"/>
      <c r="G294" s="17"/>
      <c r="H294" s="17"/>
      <c r="I294" s="17"/>
      <c r="J294" s="11">
        <f t="shared" si="54"/>
        <v>0</v>
      </c>
      <c r="K294" s="17"/>
      <c r="L294" s="17"/>
      <c r="M294" s="17"/>
      <c r="N294" s="17"/>
      <c r="O294" s="12">
        <f t="shared" si="52"/>
        <v>0</v>
      </c>
      <c r="P294" s="16"/>
    </row>
    <row r="295" spans="1:16" hidden="1" x14ac:dyDescent="0.2">
      <c r="A295" s="41" t="s">
        <v>577</v>
      </c>
      <c r="B295" s="81" t="s">
        <v>362</v>
      </c>
      <c r="C295" s="4" t="s">
        <v>363</v>
      </c>
      <c r="D295" s="14" t="s">
        <v>361</v>
      </c>
      <c r="E295" s="11"/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>K295</f>
        <v>0</v>
      </c>
      <c r="P295" s="13">
        <f t="shared" ref="P295:P313" si="55">E295+J295</f>
        <v>0</v>
      </c>
    </row>
    <row r="296" spans="1:16" hidden="1" x14ac:dyDescent="0.2">
      <c r="A296" s="41" t="s">
        <v>320</v>
      </c>
      <c r="B296" s="8" t="s">
        <v>319</v>
      </c>
      <c r="C296" s="4"/>
      <c r="D296" s="21" t="s">
        <v>318</v>
      </c>
      <c r="E296" s="11">
        <f t="shared" si="51"/>
        <v>0</v>
      </c>
      <c r="F296" s="12"/>
      <c r="G296" s="12"/>
      <c r="H296" s="12"/>
      <c r="I296" s="12">
        <f>I297+I298+I300</f>
        <v>0</v>
      </c>
      <c r="J296" s="11">
        <f t="shared" si="54"/>
        <v>0</v>
      </c>
      <c r="K296" s="12"/>
      <c r="L296" s="12"/>
      <c r="M296" s="12"/>
      <c r="N296" s="12">
        <f>N297+N298+N300</f>
        <v>0</v>
      </c>
      <c r="O296" s="12">
        <f t="shared" si="52"/>
        <v>0</v>
      </c>
      <c r="P296" s="13">
        <f t="shared" si="55"/>
        <v>0</v>
      </c>
    </row>
    <row r="297" spans="1:16" ht="25.5" hidden="1" x14ac:dyDescent="0.2">
      <c r="A297" s="41" t="s">
        <v>323</v>
      </c>
      <c r="B297" s="88" t="s">
        <v>322</v>
      </c>
      <c r="C297" s="4" t="s">
        <v>72</v>
      </c>
      <c r="D297" s="21" t="s">
        <v>321</v>
      </c>
      <c r="E297" s="11">
        <f t="shared" si="51"/>
        <v>0</v>
      </c>
      <c r="F297" s="12"/>
      <c r="G297" s="12"/>
      <c r="H297" s="12"/>
      <c r="I297" s="12"/>
      <c r="J297" s="11">
        <f t="shared" si="54"/>
        <v>0</v>
      </c>
      <c r="K297" s="12"/>
      <c r="L297" s="12"/>
      <c r="M297" s="12"/>
      <c r="N297" s="12"/>
      <c r="O297" s="12">
        <f t="shared" si="52"/>
        <v>0</v>
      </c>
      <c r="P297" s="13">
        <f t="shared" si="55"/>
        <v>0</v>
      </c>
    </row>
    <row r="298" spans="1:16" s="1" customFormat="1" ht="25.5" hidden="1" x14ac:dyDescent="0.2">
      <c r="A298" s="36" t="s">
        <v>326</v>
      </c>
      <c r="B298" s="89" t="s">
        <v>325</v>
      </c>
      <c r="C298" s="22" t="s">
        <v>72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3">
        <f t="shared" si="55"/>
        <v>0</v>
      </c>
    </row>
    <row r="299" spans="1:16" s="1" customFormat="1" hidden="1" x14ac:dyDescent="0.2">
      <c r="A299" s="36"/>
      <c r="B299" s="89"/>
      <c r="C299" s="22"/>
      <c r="D299" s="15" t="s">
        <v>475</v>
      </c>
      <c r="E299" s="10">
        <f t="shared" si="51"/>
        <v>0</v>
      </c>
      <c r="F299" s="17"/>
      <c r="G299" s="17"/>
      <c r="H299" s="17"/>
      <c r="I299" s="17"/>
      <c r="J299" s="11"/>
      <c r="K299" s="17"/>
      <c r="L299" s="17"/>
      <c r="M299" s="17"/>
      <c r="N299" s="17"/>
      <c r="O299" s="12"/>
      <c r="P299" s="13">
        <f t="shared" si="55"/>
        <v>0</v>
      </c>
    </row>
    <row r="300" spans="1:16" s="1" customFormat="1" ht="25.5" hidden="1" customHeight="1" x14ac:dyDescent="0.2">
      <c r="A300" s="36" t="s">
        <v>329</v>
      </c>
      <c r="B300" s="89" t="s">
        <v>328</v>
      </c>
      <c r="C300" s="22" t="s">
        <v>72</v>
      </c>
      <c r="D300" s="24" t="s">
        <v>327</v>
      </c>
      <c r="E300" s="10">
        <f t="shared" si="51"/>
        <v>0</v>
      </c>
      <c r="F300" s="17"/>
      <c r="G300" s="17"/>
      <c r="H300" s="17"/>
      <c r="I300" s="17"/>
      <c r="J300" s="11">
        <f t="shared" si="54"/>
        <v>0</v>
      </c>
      <c r="K300" s="17"/>
      <c r="L300" s="17"/>
      <c r="M300" s="17"/>
      <c r="N300" s="17"/>
      <c r="O300" s="12">
        <f t="shared" si="52"/>
        <v>0</v>
      </c>
      <c r="P300" s="16">
        <f t="shared" si="55"/>
        <v>0</v>
      </c>
    </row>
    <row r="301" spans="1:16" hidden="1" x14ac:dyDescent="0.2">
      <c r="A301" s="41" t="s">
        <v>331</v>
      </c>
      <c r="B301" s="8" t="s">
        <v>178</v>
      </c>
      <c r="C301" s="4" t="s">
        <v>124</v>
      </c>
      <c r="D301" s="21" t="s">
        <v>330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5"/>
        <v>0</v>
      </c>
    </row>
    <row r="302" spans="1:16" hidden="1" x14ac:dyDescent="0.2">
      <c r="A302" s="41" t="s">
        <v>334</v>
      </c>
      <c r="B302" s="8" t="s">
        <v>333</v>
      </c>
      <c r="C302" s="4" t="s">
        <v>163</v>
      </c>
      <c r="D302" s="5" t="s">
        <v>332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5"/>
        <v>0</v>
      </c>
    </row>
    <row r="303" spans="1:16" hidden="1" x14ac:dyDescent="0.2">
      <c r="A303" s="41" t="s">
        <v>554</v>
      </c>
      <c r="B303" s="4" t="s">
        <v>187</v>
      </c>
      <c r="C303" s="3" t="s">
        <v>124</v>
      </c>
      <c r="D303" s="73" t="s">
        <v>188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5"/>
        <v>0</v>
      </c>
    </row>
    <row r="304" spans="1:16" ht="25.5" hidden="1" x14ac:dyDescent="0.2">
      <c r="A304" s="41" t="s">
        <v>560</v>
      </c>
      <c r="B304" s="4" t="s">
        <v>181</v>
      </c>
      <c r="C304" s="4" t="s">
        <v>127</v>
      </c>
      <c r="D304" s="82" t="s">
        <v>389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5"/>
        <v>0</v>
      </c>
    </row>
    <row r="305" spans="1:18" ht="25.5" x14ac:dyDescent="0.2">
      <c r="A305" s="62">
        <v>1500000</v>
      </c>
      <c r="B305" s="6"/>
      <c r="C305" s="7"/>
      <c r="D305" s="31" t="s">
        <v>654</v>
      </c>
      <c r="E305" s="25">
        <f>E314</f>
        <v>142211151</v>
      </c>
      <c r="F305" s="25">
        <f t="shared" ref="F305:O305" si="56">F314</f>
        <v>142211151</v>
      </c>
      <c r="G305" s="25">
        <f t="shared" si="56"/>
        <v>7282700</v>
      </c>
      <c r="H305" s="25">
        <f t="shared" si="56"/>
        <v>9627000</v>
      </c>
      <c r="I305" s="25">
        <f t="shared" si="56"/>
        <v>0</v>
      </c>
      <c r="J305" s="25">
        <f t="shared" si="56"/>
        <v>228044278</v>
      </c>
      <c r="K305" s="25">
        <f>K314</f>
        <v>196608278</v>
      </c>
      <c r="L305" s="25">
        <f t="shared" si="56"/>
        <v>0</v>
      </c>
      <c r="M305" s="25">
        <f t="shared" si="56"/>
        <v>0</v>
      </c>
      <c r="N305" s="25">
        <f t="shared" si="56"/>
        <v>0</v>
      </c>
      <c r="O305" s="25">
        <f t="shared" si="56"/>
        <v>228044278</v>
      </c>
      <c r="P305" s="13">
        <f t="shared" si="55"/>
        <v>370255429</v>
      </c>
      <c r="R305" s="34"/>
    </row>
    <row r="306" spans="1:18" s="1" customFormat="1" hidden="1" x14ac:dyDescent="0.2">
      <c r="A306" s="36"/>
      <c r="B306" s="18"/>
      <c r="C306" s="3"/>
      <c r="D306" s="15" t="s">
        <v>475</v>
      </c>
      <c r="E306" s="17"/>
      <c r="F306" s="17"/>
      <c r="G306" s="17"/>
      <c r="H306" s="17"/>
      <c r="I306" s="17"/>
      <c r="J306" s="17">
        <f>L306+O306</f>
        <v>0</v>
      </c>
      <c r="K306" s="17">
        <f>K323+K340</f>
        <v>0</v>
      </c>
      <c r="L306" s="17"/>
      <c r="M306" s="17"/>
      <c r="N306" s="17"/>
      <c r="O306" s="17">
        <f>K306</f>
        <v>0</v>
      </c>
      <c r="P306" s="16">
        <f t="shared" si="55"/>
        <v>0</v>
      </c>
    </row>
    <row r="307" spans="1:18" s="1" customFormat="1" ht="51" hidden="1" x14ac:dyDescent="0.2">
      <c r="A307" s="36"/>
      <c r="B307" s="18"/>
      <c r="C307" s="3"/>
      <c r="D307" s="19" t="s">
        <v>563</v>
      </c>
      <c r="E307" s="17"/>
      <c r="F307" s="17"/>
      <c r="G307" s="17"/>
      <c r="H307" s="17"/>
      <c r="I307" s="17"/>
      <c r="J307" s="17">
        <f t="shared" ref="J307:O307" si="57">J339</f>
        <v>0</v>
      </c>
      <c r="K307" s="17">
        <f t="shared" si="57"/>
        <v>0</v>
      </c>
      <c r="L307" s="17">
        <f t="shared" si="57"/>
        <v>0</v>
      </c>
      <c r="M307" s="17">
        <f t="shared" si="57"/>
        <v>0</v>
      </c>
      <c r="N307" s="17">
        <f t="shared" si="57"/>
        <v>0</v>
      </c>
      <c r="O307" s="17">
        <f t="shared" si="57"/>
        <v>0</v>
      </c>
      <c r="P307" s="16">
        <f t="shared" si="55"/>
        <v>0</v>
      </c>
    </row>
    <row r="308" spans="1:18" s="1" customFormat="1" ht="38.25" hidden="1" x14ac:dyDescent="0.2">
      <c r="A308" s="36"/>
      <c r="B308" s="18"/>
      <c r="C308" s="3"/>
      <c r="D308" s="69" t="s">
        <v>566</v>
      </c>
      <c r="E308" s="17"/>
      <c r="F308" s="17"/>
      <c r="G308" s="17"/>
      <c r="H308" s="17"/>
      <c r="I308" s="17"/>
      <c r="J308" s="17">
        <f t="shared" ref="J308:O308" si="58">J350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5"/>
        <v>0</v>
      </c>
    </row>
    <row r="309" spans="1:18" s="1" customFormat="1" ht="38.25" hidden="1" x14ac:dyDescent="0.2">
      <c r="A309" s="36"/>
      <c r="B309" s="18"/>
      <c r="C309" s="3"/>
      <c r="D309" s="19" t="s">
        <v>564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5"/>
        <v>0</v>
      </c>
    </row>
    <row r="310" spans="1:18" s="1" customFormat="1" ht="25.5" x14ac:dyDescent="0.2">
      <c r="A310" s="36"/>
      <c r="B310" s="18"/>
      <c r="C310" s="3"/>
      <c r="D310" s="35" t="s">
        <v>502</v>
      </c>
      <c r="E310" s="17"/>
      <c r="F310" s="17"/>
      <c r="G310" s="17"/>
      <c r="H310" s="17"/>
      <c r="I310" s="17"/>
      <c r="J310" s="17">
        <f t="shared" ref="J310:O310" si="59">J357</f>
        <v>44885444</v>
      </c>
      <c r="K310" s="17">
        <f t="shared" si="59"/>
        <v>44885444</v>
      </c>
      <c r="L310" s="17">
        <f t="shared" si="59"/>
        <v>0</v>
      </c>
      <c r="M310" s="17">
        <f t="shared" si="59"/>
        <v>0</v>
      </c>
      <c r="N310" s="17">
        <f t="shared" si="59"/>
        <v>0</v>
      </c>
      <c r="O310" s="17">
        <f t="shared" si="59"/>
        <v>44885444</v>
      </c>
      <c r="P310" s="16">
        <f t="shared" si="55"/>
        <v>44885444</v>
      </c>
    </row>
    <row r="311" spans="1:18" s="1" customFormat="1" ht="38.25" hidden="1" x14ac:dyDescent="0.2">
      <c r="A311" s="36"/>
      <c r="B311" s="18"/>
      <c r="C311" s="3"/>
      <c r="D311" s="24" t="s">
        <v>585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5"/>
        <v>0</v>
      </c>
    </row>
    <row r="312" spans="1:18" s="1" customFormat="1" ht="51" hidden="1" x14ac:dyDescent="0.2">
      <c r="A312" s="36"/>
      <c r="B312" s="18"/>
      <c r="C312" s="3"/>
      <c r="D312" s="24" t="s">
        <v>589</v>
      </c>
      <c r="E312" s="17"/>
      <c r="F312" s="17"/>
      <c r="G312" s="17"/>
      <c r="H312" s="17"/>
      <c r="I312" s="17"/>
      <c r="J312" s="17">
        <f t="shared" ref="J312:O312" si="60">J359</f>
        <v>0</v>
      </c>
      <c r="K312" s="17">
        <f t="shared" si="60"/>
        <v>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0</v>
      </c>
      <c r="P312" s="16">
        <f t="shared" si="55"/>
        <v>0</v>
      </c>
    </row>
    <row r="313" spans="1:18" ht="15" customHeight="1" x14ac:dyDescent="0.2">
      <c r="A313" s="62"/>
      <c r="B313" s="6"/>
      <c r="C313" s="7"/>
      <c r="D313" s="24" t="s">
        <v>476</v>
      </c>
      <c r="E313" s="25">
        <f>F313+I313</f>
        <v>0</v>
      </c>
      <c r="F313" s="25"/>
      <c r="G313" s="25"/>
      <c r="H313" s="25"/>
      <c r="I313" s="25"/>
      <c r="J313" s="17">
        <f>L313+O313</f>
        <v>31436000</v>
      </c>
      <c r="K313" s="33">
        <f>SUM(K370)</f>
        <v>0</v>
      </c>
      <c r="L313" s="17"/>
      <c r="M313" s="17"/>
      <c r="N313" s="17"/>
      <c r="O313" s="33">
        <f>O370</f>
        <v>31436000</v>
      </c>
      <c r="P313" s="13">
        <f t="shared" si="55"/>
        <v>31436000</v>
      </c>
    </row>
    <row r="314" spans="1:18" ht="25.5" x14ac:dyDescent="0.2">
      <c r="A314" s="41" t="s">
        <v>335</v>
      </c>
      <c r="B314" s="8"/>
      <c r="C314" s="7"/>
      <c r="D314" s="15" t="s">
        <v>654</v>
      </c>
      <c r="E314" s="29">
        <f>E315+E334+E360+E371+E335+E330</f>
        <v>142211151</v>
      </c>
      <c r="F314" s="29">
        <f>F315+F334+F360+F371+F335+F330</f>
        <v>142211151</v>
      </c>
      <c r="G314" s="29">
        <f>G315+G334+G360+G371</f>
        <v>7282700</v>
      </c>
      <c r="H314" s="29">
        <f>H315+H334+H360+H371</f>
        <v>9627000</v>
      </c>
      <c r="I314" s="29">
        <f>I315+I334+I360</f>
        <v>0</v>
      </c>
      <c r="J314" s="29">
        <f>J315+J317+J322+J326+J329+J332+J334+J336+J337+J342+J343+J351+J353+J356+J360+J367+J368+J369+J331+J324+J320</f>
        <v>228044278</v>
      </c>
      <c r="K314" s="29">
        <f>K315+K317+K322+K326+K329+K332+K334+K336+K337+K342+K343+K351+K353+K356+K360+K367+K368+K331+K324+K320</f>
        <v>196608278</v>
      </c>
      <c r="L314" s="29">
        <f>L315+L317+L322+L326+L329+L332+L334+L336+L337+L342+L343+L351+L353+L356+L360+L367+L368</f>
        <v>0</v>
      </c>
      <c r="M314" s="29">
        <f>M315+M317+M322+M326+M329+M332+M334+M336+M337+M342+M343+M351+M353+M356+M360+M367+M368</f>
        <v>0</v>
      </c>
      <c r="N314" s="29">
        <f>N315+N317+N322+N326+N329+N332+N334+N336+N337+N342+N343+N351+N353+N356+N360+N367+N368</f>
        <v>0</v>
      </c>
      <c r="O314" s="29">
        <f>O315+O317+O322+O326+O329+O332+O334+O336+O337+O342+O343+O351+O353+O356+O360+O367+O368+O369+O331+O324+O320</f>
        <v>228044278</v>
      </c>
      <c r="P314" s="29">
        <f>P315+P317+P322+P326+P329+P332+P334+P336+P337+P342+P343+P351+P353+P356+P360+P367+P368+P371+P369+P331+P324+P335+P330+P320</f>
        <v>370255429</v>
      </c>
    </row>
    <row r="315" spans="1:18" ht="25.5" x14ac:dyDescent="0.2">
      <c r="A315" s="41" t="s">
        <v>336</v>
      </c>
      <c r="B315" s="4" t="s">
        <v>190</v>
      </c>
      <c r="C315" s="4" t="s">
        <v>118</v>
      </c>
      <c r="D315" s="14" t="s">
        <v>603</v>
      </c>
      <c r="E315" s="11">
        <f t="shared" ref="E315:E365" si="61">F315+I315</f>
        <v>11158200</v>
      </c>
      <c r="F315" s="12">
        <f>7113900+343600+3700700</f>
        <v>11158200</v>
      </c>
      <c r="G315" s="12">
        <f>3002700+1700000+2580000</f>
        <v>7282700</v>
      </c>
      <c r="H315" s="12">
        <f>26000+101000</f>
        <v>127000</v>
      </c>
      <c r="I315" s="12"/>
      <c r="J315" s="11">
        <f t="shared" ref="J315:J359" si="62">L315+O315</f>
        <v>895000</v>
      </c>
      <c r="K315" s="12">
        <f>680000+65000+150000</f>
        <v>895000</v>
      </c>
      <c r="L315" s="12"/>
      <c r="M315" s="12"/>
      <c r="N315" s="12"/>
      <c r="O315" s="12">
        <f t="shared" ref="O315:O343" si="63">K315</f>
        <v>895000</v>
      </c>
      <c r="P315" s="13">
        <f t="shared" ref="P315:P372" si="64">E315+J315</f>
        <v>12053200</v>
      </c>
    </row>
    <row r="316" spans="1:18" ht="16.5" hidden="1" customHeight="1" x14ac:dyDescent="0.2">
      <c r="A316" s="41" t="s">
        <v>337</v>
      </c>
      <c r="B316" s="20" t="s">
        <v>61</v>
      </c>
      <c r="C316" s="20" t="s">
        <v>134</v>
      </c>
      <c r="D316" s="5" t="s">
        <v>192</v>
      </c>
      <c r="E316" s="11">
        <f t="shared" si="61"/>
        <v>0</v>
      </c>
      <c r="F316" s="12"/>
      <c r="G316" s="12"/>
      <c r="H316" s="12"/>
      <c r="I316" s="12"/>
      <c r="J316" s="11">
        <f t="shared" si="62"/>
        <v>0</v>
      </c>
      <c r="K316" s="12">
        <f>250000-250000</f>
        <v>0</v>
      </c>
      <c r="L316" s="12"/>
      <c r="M316" s="12"/>
      <c r="N316" s="12"/>
      <c r="O316" s="12">
        <f t="shared" si="63"/>
        <v>0</v>
      </c>
      <c r="P316" s="13">
        <f t="shared" si="64"/>
        <v>0</v>
      </c>
    </row>
    <row r="317" spans="1:18" x14ac:dyDescent="0.2">
      <c r="A317" s="41" t="s">
        <v>632</v>
      </c>
      <c r="B317" s="98" t="s">
        <v>609</v>
      </c>
      <c r="C317" s="20" t="s">
        <v>135</v>
      </c>
      <c r="D317" s="21" t="s">
        <v>618</v>
      </c>
      <c r="E317" s="11">
        <f t="shared" si="61"/>
        <v>0</v>
      </c>
      <c r="F317" s="12"/>
      <c r="G317" s="12"/>
      <c r="H317" s="12"/>
      <c r="I317" s="12"/>
      <c r="J317" s="11">
        <f t="shared" si="62"/>
        <v>485242</v>
      </c>
      <c r="K317" s="12">
        <f>409800+10442+65000</f>
        <v>485242</v>
      </c>
      <c r="L317" s="12"/>
      <c r="M317" s="12"/>
      <c r="N317" s="12"/>
      <c r="O317" s="12">
        <f t="shared" si="63"/>
        <v>485242</v>
      </c>
      <c r="P317" s="13">
        <f t="shared" si="64"/>
        <v>485242</v>
      </c>
    </row>
    <row r="318" spans="1:18" ht="38.25" hidden="1" x14ac:dyDescent="0.2">
      <c r="A318" s="41"/>
      <c r="B318" s="20"/>
      <c r="C318" s="20"/>
      <c r="D318" s="19" t="s">
        <v>564</v>
      </c>
      <c r="E318" s="11"/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526</v>
      </c>
      <c r="B319" s="20" t="s">
        <v>119</v>
      </c>
      <c r="C319" s="20" t="s">
        <v>136</v>
      </c>
      <c r="D319" s="21" t="s">
        <v>574</v>
      </c>
      <c r="E319" s="11">
        <f t="shared" si="61"/>
        <v>0</v>
      </c>
      <c r="F319" s="12"/>
      <c r="G319" s="12"/>
      <c r="H319" s="12"/>
      <c r="I319" s="12"/>
      <c r="J319" s="11">
        <f t="shared" si="62"/>
        <v>0</v>
      </c>
      <c r="K319" s="12"/>
      <c r="L319" s="12"/>
      <c r="M319" s="12"/>
      <c r="N319" s="12"/>
      <c r="O319" s="12">
        <f t="shared" si="63"/>
        <v>0</v>
      </c>
      <c r="P319" s="13">
        <f t="shared" si="64"/>
        <v>0</v>
      </c>
    </row>
    <row r="320" spans="1:18" ht="38.25" x14ac:dyDescent="0.2">
      <c r="A320" s="41" t="s">
        <v>670</v>
      </c>
      <c r="B320" s="20" t="s">
        <v>671</v>
      </c>
      <c r="C320" s="20" t="s">
        <v>137</v>
      </c>
      <c r="D320" s="5" t="s">
        <v>672</v>
      </c>
      <c r="E320" s="11">
        <f t="shared" si="61"/>
        <v>0</v>
      </c>
      <c r="F320" s="12"/>
      <c r="G320" s="12"/>
      <c r="H320" s="12"/>
      <c r="I320" s="12"/>
      <c r="J320" s="11">
        <f t="shared" si="62"/>
        <v>3598681</v>
      </c>
      <c r="K320" s="12">
        <v>3598681</v>
      </c>
      <c r="L320" s="12"/>
      <c r="M320" s="12"/>
      <c r="N320" s="12"/>
      <c r="O320" s="12">
        <f t="shared" si="63"/>
        <v>3598681</v>
      </c>
      <c r="P320" s="13">
        <f t="shared" si="64"/>
        <v>3598681</v>
      </c>
    </row>
    <row r="321" spans="1:16" s="1" customFormat="1" hidden="1" x14ac:dyDescent="0.2">
      <c r="A321" s="36"/>
      <c r="B321" s="22"/>
      <c r="C321" s="22"/>
      <c r="D321" s="24"/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4"/>
        <v>0</v>
      </c>
    </row>
    <row r="322" spans="1:16" x14ac:dyDescent="0.2">
      <c r="A322" s="41" t="s">
        <v>357</v>
      </c>
      <c r="B322" s="4" t="s">
        <v>35</v>
      </c>
      <c r="C322" s="4" t="s">
        <v>5</v>
      </c>
      <c r="D322" s="5" t="s">
        <v>92</v>
      </c>
      <c r="E322" s="11">
        <f>F322+I322</f>
        <v>0</v>
      </c>
      <c r="F322" s="12"/>
      <c r="G322" s="12"/>
      <c r="H322" s="12"/>
      <c r="I322" s="12"/>
      <c r="J322" s="11">
        <f t="shared" si="62"/>
        <v>619948</v>
      </c>
      <c r="K322" s="12">
        <f>620000-52</f>
        <v>619948</v>
      </c>
      <c r="L322" s="12"/>
      <c r="M322" s="12"/>
      <c r="N322" s="12"/>
      <c r="O322" s="12">
        <f t="shared" si="63"/>
        <v>619948</v>
      </c>
      <c r="P322" s="13">
        <f t="shared" si="64"/>
        <v>619948</v>
      </c>
    </row>
    <row r="323" spans="1:16" s="1" customFormat="1" hidden="1" x14ac:dyDescent="0.2">
      <c r="A323" s="36"/>
      <c r="B323" s="3"/>
      <c r="C323" s="3"/>
      <c r="D323" s="24" t="s">
        <v>475</v>
      </c>
      <c r="E323" s="10"/>
      <c r="F323" s="17"/>
      <c r="G323" s="17"/>
      <c r="H323" s="17"/>
      <c r="I323" s="17"/>
      <c r="J323" s="10">
        <f t="shared" si="62"/>
        <v>0</v>
      </c>
      <c r="K323" s="17"/>
      <c r="L323" s="17"/>
      <c r="M323" s="17"/>
      <c r="N323" s="17"/>
      <c r="O323" s="17">
        <f t="shared" si="63"/>
        <v>0</v>
      </c>
      <c r="P323" s="13">
        <f t="shared" si="64"/>
        <v>0</v>
      </c>
    </row>
    <row r="324" spans="1:16" x14ac:dyDescent="0.2">
      <c r="A324" s="41" t="s">
        <v>503</v>
      </c>
      <c r="B324" s="4" t="s">
        <v>200</v>
      </c>
      <c r="C324" s="4" t="s">
        <v>6</v>
      </c>
      <c r="D324" s="5" t="s">
        <v>94</v>
      </c>
      <c r="E324" s="11">
        <f t="shared" si="61"/>
        <v>0</v>
      </c>
      <c r="F324" s="12"/>
      <c r="G324" s="12"/>
      <c r="H324" s="12"/>
      <c r="I324" s="12"/>
      <c r="J324" s="11">
        <f t="shared" si="62"/>
        <v>290000</v>
      </c>
      <c r="K324" s="12">
        <v>290000</v>
      </c>
      <c r="L324" s="12"/>
      <c r="M324" s="12"/>
      <c r="N324" s="12"/>
      <c r="O324" s="12">
        <f t="shared" si="63"/>
        <v>290000</v>
      </c>
      <c r="P324" s="13">
        <f t="shared" si="64"/>
        <v>290000</v>
      </c>
    </row>
    <row r="325" spans="1:16" hidden="1" x14ac:dyDescent="0.2">
      <c r="A325" s="41" t="s">
        <v>358</v>
      </c>
      <c r="B325" s="4" t="s">
        <v>208</v>
      </c>
      <c r="C325" s="4"/>
      <c r="D325" s="14" t="s">
        <v>421</v>
      </c>
      <c r="E325" s="11">
        <f t="shared" si="61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2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3"/>
        <v>0</v>
      </c>
      <c r="P325" s="13">
        <f t="shared" si="64"/>
        <v>0</v>
      </c>
    </row>
    <row r="326" spans="1:16" s="1" customFormat="1" ht="25.5" x14ac:dyDescent="0.2">
      <c r="A326" s="36" t="s">
        <v>359</v>
      </c>
      <c r="B326" s="3" t="s">
        <v>211</v>
      </c>
      <c r="C326" s="3" t="s">
        <v>447</v>
      </c>
      <c r="D326" s="15" t="s">
        <v>210</v>
      </c>
      <c r="E326" s="10">
        <f t="shared" si="61"/>
        <v>0</v>
      </c>
      <c r="F326" s="17"/>
      <c r="G326" s="17"/>
      <c r="H326" s="17"/>
      <c r="I326" s="17"/>
      <c r="J326" s="10">
        <f t="shared" si="62"/>
        <v>3000</v>
      </c>
      <c r="K326" s="17">
        <v>3000</v>
      </c>
      <c r="L326" s="17"/>
      <c r="M326" s="17"/>
      <c r="N326" s="17"/>
      <c r="O326" s="12">
        <f t="shared" si="63"/>
        <v>3000</v>
      </c>
      <c r="P326" s="16">
        <f t="shared" si="64"/>
        <v>3000</v>
      </c>
    </row>
    <row r="327" spans="1:16" ht="25.5" hidden="1" x14ac:dyDescent="0.2">
      <c r="A327" s="41" t="s">
        <v>523</v>
      </c>
      <c r="B327" s="4" t="s">
        <v>55</v>
      </c>
      <c r="C327" s="20" t="s">
        <v>68</v>
      </c>
      <c r="D327" s="21" t="s">
        <v>287</v>
      </c>
      <c r="E327" s="11">
        <f t="shared" si="61"/>
        <v>0</v>
      </c>
      <c r="F327" s="12"/>
      <c r="G327" s="12"/>
      <c r="H327" s="12"/>
      <c r="I327" s="12"/>
      <c r="J327" s="11">
        <f t="shared" si="62"/>
        <v>0</v>
      </c>
      <c r="K327" s="12"/>
      <c r="L327" s="12"/>
      <c r="M327" s="12"/>
      <c r="N327" s="12"/>
      <c r="O327" s="12">
        <f t="shared" si="63"/>
        <v>0</v>
      </c>
      <c r="P327" s="13">
        <f t="shared" si="64"/>
        <v>0</v>
      </c>
    </row>
    <row r="328" spans="1:16" ht="25.5" hidden="1" x14ac:dyDescent="0.2">
      <c r="A328" s="41" t="s">
        <v>553</v>
      </c>
      <c r="B328" s="4" t="s">
        <v>140</v>
      </c>
      <c r="C328" s="22" t="s">
        <v>4</v>
      </c>
      <c r="D328" s="5" t="s">
        <v>90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580</v>
      </c>
      <c r="B329" s="4" t="s">
        <v>578</v>
      </c>
      <c r="C329" s="22" t="s">
        <v>4</v>
      </c>
      <c r="D329" s="5" t="s">
        <v>579</v>
      </c>
      <c r="E329" s="11"/>
      <c r="F329" s="12"/>
      <c r="G329" s="12"/>
      <c r="H329" s="12"/>
      <c r="I329" s="12"/>
      <c r="J329" s="11">
        <f>L329+O329</f>
        <v>5989357</v>
      </c>
      <c r="K329" s="12">
        <f>3550000+2439357</f>
        <v>5989357</v>
      </c>
      <c r="L329" s="12"/>
      <c r="M329" s="12"/>
      <c r="N329" s="12"/>
      <c r="O329" s="12">
        <f>K329</f>
        <v>5989357</v>
      </c>
      <c r="P329" s="13">
        <f>E329+J329</f>
        <v>5989357</v>
      </c>
    </row>
    <row r="330" spans="1:16" x14ac:dyDescent="0.2">
      <c r="A330" s="41" t="s">
        <v>669</v>
      </c>
      <c r="B330" s="4" t="s">
        <v>456</v>
      </c>
      <c r="C330" s="22" t="s">
        <v>71</v>
      </c>
      <c r="D330" s="5" t="s">
        <v>457</v>
      </c>
      <c r="E330" s="11">
        <f>F330</f>
        <v>280000</v>
      </c>
      <c r="F330" s="12">
        <v>280000</v>
      </c>
      <c r="G330" s="12"/>
      <c r="H330" s="12"/>
      <c r="I330" s="12"/>
      <c r="J330" s="11"/>
      <c r="K330" s="12"/>
      <c r="L330" s="12"/>
      <c r="M330" s="12"/>
      <c r="N330" s="12"/>
      <c r="O330" s="12"/>
      <c r="P330" s="13">
        <f>E330+J330</f>
        <v>280000</v>
      </c>
    </row>
    <row r="331" spans="1:16" x14ac:dyDescent="0.2">
      <c r="A331" s="41" t="s">
        <v>666</v>
      </c>
      <c r="B331" s="4" t="s">
        <v>302</v>
      </c>
      <c r="C331" s="22" t="s">
        <v>71</v>
      </c>
      <c r="D331" s="5" t="s">
        <v>304</v>
      </c>
      <c r="E331" s="11"/>
      <c r="F331" s="12"/>
      <c r="G331" s="12"/>
      <c r="H331" s="12"/>
      <c r="I331" s="12"/>
      <c r="J331" s="11">
        <f>L331+O331</f>
        <v>200000</v>
      </c>
      <c r="K331" s="12">
        <v>200000</v>
      </c>
      <c r="L331" s="12"/>
      <c r="M331" s="12"/>
      <c r="N331" s="12"/>
      <c r="O331" s="12">
        <f>K331</f>
        <v>200000</v>
      </c>
      <c r="P331" s="13">
        <f>E331+J331</f>
        <v>200000</v>
      </c>
    </row>
    <row r="332" spans="1:16" ht="25.5" x14ac:dyDescent="0.2">
      <c r="A332" s="41" t="s">
        <v>658</v>
      </c>
      <c r="B332" s="4" t="s">
        <v>355</v>
      </c>
      <c r="C332" s="4" t="s">
        <v>71</v>
      </c>
      <c r="D332" s="21" t="s">
        <v>356</v>
      </c>
      <c r="E332" s="11">
        <f>F332+I332</f>
        <v>0</v>
      </c>
      <c r="F332" s="12"/>
      <c r="G332" s="12"/>
      <c r="H332" s="12"/>
      <c r="I332" s="12"/>
      <c r="J332" s="11">
        <f>L332+O332</f>
        <v>625000</v>
      </c>
      <c r="K332" s="12">
        <v>625000</v>
      </c>
      <c r="L332" s="12"/>
      <c r="M332" s="12"/>
      <c r="N332" s="12"/>
      <c r="O332" s="12">
        <f>K332</f>
        <v>625000</v>
      </c>
      <c r="P332" s="13">
        <f>E332+J332</f>
        <v>625000</v>
      </c>
    </row>
    <row r="333" spans="1:16" hidden="1" x14ac:dyDescent="0.2">
      <c r="A333" s="41"/>
      <c r="B333" s="4"/>
      <c r="C333" s="22"/>
      <c r="D333" s="5"/>
      <c r="E333" s="11"/>
      <c r="F333" s="12"/>
      <c r="G333" s="12"/>
      <c r="H333" s="12"/>
      <c r="I333" s="12"/>
      <c r="J333" s="11"/>
      <c r="K333" s="12"/>
      <c r="L333" s="12"/>
      <c r="M333" s="12"/>
      <c r="N333" s="12"/>
      <c r="O333" s="12"/>
      <c r="P333" s="13"/>
    </row>
    <row r="334" spans="1:16" x14ac:dyDescent="0.2">
      <c r="A334" s="41" t="s">
        <v>360</v>
      </c>
      <c r="B334" s="20" t="s">
        <v>306</v>
      </c>
      <c r="C334" s="20" t="s">
        <v>71</v>
      </c>
      <c r="D334" s="21" t="s">
        <v>305</v>
      </c>
      <c r="E334" s="11">
        <f t="shared" si="61"/>
        <v>86187951</v>
      </c>
      <c r="F334" s="30">
        <f>85397951+200000+590000</f>
        <v>86187951</v>
      </c>
      <c r="G334" s="30"/>
      <c r="H334" s="30">
        <v>9500000</v>
      </c>
      <c r="I334" s="30"/>
      <c r="J334" s="11">
        <f t="shared" si="62"/>
        <v>8460225</v>
      </c>
      <c r="K334" s="30">
        <f>12745225-2585000-1700000</f>
        <v>8460225</v>
      </c>
      <c r="L334" s="30"/>
      <c r="M334" s="30"/>
      <c r="N334" s="30"/>
      <c r="O334" s="12">
        <f t="shared" si="63"/>
        <v>8460225</v>
      </c>
      <c r="P334" s="13">
        <f t="shared" si="64"/>
        <v>94648176</v>
      </c>
    </row>
    <row r="335" spans="1:16" x14ac:dyDescent="0.2">
      <c r="A335" s="41" t="s">
        <v>667</v>
      </c>
      <c r="B335" s="20" t="s">
        <v>310</v>
      </c>
      <c r="C335" s="20" t="s">
        <v>71</v>
      </c>
      <c r="D335" s="5" t="s">
        <v>668</v>
      </c>
      <c r="E335" s="11">
        <f t="shared" si="61"/>
        <v>445000</v>
      </c>
      <c r="F335" s="30">
        <f>300000+145000</f>
        <v>445000</v>
      </c>
      <c r="G335" s="30"/>
      <c r="H335" s="30"/>
      <c r="I335" s="30"/>
      <c r="J335" s="11">
        <f t="shared" si="62"/>
        <v>0</v>
      </c>
      <c r="K335" s="30"/>
      <c r="L335" s="30"/>
      <c r="M335" s="30"/>
      <c r="N335" s="30"/>
      <c r="O335" s="12">
        <f>K335</f>
        <v>0</v>
      </c>
      <c r="P335" s="13">
        <f>E335+J335</f>
        <v>445000</v>
      </c>
    </row>
    <row r="336" spans="1:16" x14ac:dyDescent="0.2">
      <c r="A336" s="41" t="s">
        <v>562</v>
      </c>
      <c r="B336" s="81" t="s">
        <v>333</v>
      </c>
      <c r="C336" s="81" t="s">
        <v>163</v>
      </c>
      <c r="D336" s="5" t="s">
        <v>332</v>
      </c>
      <c r="E336" s="11">
        <f>F336+I336</f>
        <v>0</v>
      </c>
      <c r="F336" s="12"/>
      <c r="G336" s="12"/>
      <c r="H336" s="12"/>
      <c r="I336" s="12"/>
      <c r="J336" s="11">
        <f>L336+O336</f>
        <v>500000</v>
      </c>
      <c r="K336" s="12">
        <v>500000</v>
      </c>
      <c r="L336" s="12"/>
      <c r="M336" s="12"/>
      <c r="N336" s="12"/>
      <c r="O336" s="12">
        <f>K336</f>
        <v>500000</v>
      </c>
      <c r="P336" s="13">
        <f>E336+J336</f>
        <v>500000</v>
      </c>
    </row>
    <row r="337" spans="1:16" x14ac:dyDescent="0.2">
      <c r="A337" s="41" t="s">
        <v>364</v>
      </c>
      <c r="B337" s="4" t="s">
        <v>362</v>
      </c>
      <c r="C337" s="4" t="s">
        <v>363</v>
      </c>
      <c r="D337" s="14" t="s">
        <v>361</v>
      </c>
      <c r="E337" s="11">
        <f t="shared" si="61"/>
        <v>0</v>
      </c>
      <c r="F337" s="12"/>
      <c r="G337" s="12"/>
      <c r="H337" s="12"/>
      <c r="I337" s="12"/>
      <c r="J337" s="11">
        <f t="shared" si="62"/>
        <v>19283462</v>
      </c>
      <c r="K337" s="12">
        <f>8670662+300000+9342800-30000+1000000</f>
        <v>19283462</v>
      </c>
      <c r="L337" s="12"/>
      <c r="M337" s="12"/>
      <c r="N337" s="12"/>
      <c r="O337" s="12">
        <f t="shared" si="63"/>
        <v>19283462</v>
      </c>
      <c r="P337" s="13">
        <f t="shared" si="64"/>
        <v>19283462</v>
      </c>
    </row>
    <row r="338" spans="1:16" hidden="1" x14ac:dyDescent="0.2">
      <c r="A338" s="41" t="s">
        <v>367</v>
      </c>
      <c r="B338" s="4" t="s">
        <v>366</v>
      </c>
      <c r="C338" s="4"/>
      <c r="D338" s="21" t="s">
        <v>365</v>
      </c>
      <c r="E338" s="11">
        <f t="shared" si="61"/>
        <v>0</v>
      </c>
      <c r="F338" s="12"/>
      <c r="G338" s="12"/>
      <c r="H338" s="12"/>
      <c r="I338" s="12"/>
      <c r="J338" s="11">
        <f t="shared" si="62"/>
        <v>0</v>
      </c>
      <c r="K338" s="12"/>
      <c r="L338" s="12">
        <f>SUM(L341:L343)</f>
        <v>0</v>
      </c>
      <c r="M338" s="12">
        <f>SUM(M341:M343)</f>
        <v>0</v>
      </c>
      <c r="N338" s="12">
        <f>SUM(N341:N343)</f>
        <v>0</v>
      </c>
      <c r="O338" s="12">
        <f>K338</f>
        <v>0</v>
      </c>
      <c r="P338" s="13">
        <f>E338+J338</f>
        <v>0</v>
      </c>
    </row>
    <row r="339" spans="1:16" s="1" customFormat="1" ht="51" hidden="1" x14ac:dyDescent="0.2">
      <c r="A339" s="36"/>
      <c r="B339" s="3"/>
      <c r="C339" s="3"/>
      <c r="D339" s="19" t="s">
        <v>563</v>
      </c>
      <c r="E339" s="10"/>
      <c r="F339" s="17"/>
      <c r="G339" s="17"/>
      <c r="H339" s="17"/>
      <c r="I339" s="17"/>
      <c r="J339" s="11">
        <f t="shared" si="62"/>
        <v>0</v>
      </c>
      <c r="K339" s="17"/>
      <c r="L339" s="17"/>
      <c r="M339" s="17"/>
      <c r="N339" s="17"/>
      <c r="O339" s="12">
        <f>K339</f>
        <v>0</v>
      </c>
      <c r="P339" s="13">
        <f>E339+J339</f>
        <v>0</v>
      </c>
    </row>
    <row r="340" spans="1:16" s="1" customFormat="1" hidden="1" x14ac:dyDescent="0.2">
      <c r="A340" s="36"/>
      <c r="B340" s="3"/>
      <c r="C340" s="3"/>
      <c r="D340" s="19" t="s">
        <v>475</v>
      </c>
      <c r="E340" s="10"/>
      <c r="F340" s="17"/>
      <c r="G340" s="17"/>
      <c r="H340" s="17"/>
      <c r="I340" s="17"/>
      <c r="J340" s="10">
        <f>K340+L340</f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 t="s">
        <v>371</v>
      </c>
      <c r="B341" s="3" t="s">
        <v>368</v>
      </c>
      <c r="C341" s="3" t="s">
        <v>363</v>
      </c>
      <c r="D341" s="19" t="s">
        <v>374</v>
      </c>
      <c r="E341" s="11">
        <f t="shared" si="61"/>
        <v>0</v>
      </c>
      <c r="F341" s="17"/>
      <c r="G341" s="17"/>
      <c r="H341" s="17"/>
      <c r="I341" s="17"/>
      <c r="J341" s="11">
        <f t="shared" si="62"/>
        <v>0</v>
      </c>
      <c r="K341" s="17"/>
      <c r="L341" s="17"/>
      <c r="M341" s="17"/>
      <c r="N341" s="17"/>
      <c r="O341" s="12">
        <f t="shared" si="63"/>
        <v>0</v>
      </c>
      <c r="P341" s="13">
        <f t="shared" si="64"/>
        <v>0</v>
      </c>
    </row>
    <row r="342" spans="1:16" s="1" customFormat="1" x14ac:dyDescent="0.2">
      <c r="A342" s="36" t="s">
        <v>372</v>
      </c>
      <c r="B342" s="3" t="s">
        <v>369</v>
      </c>
      <c r="C342" s="3" t="s">
        <v>363</v>
      </c>
      <c r="D342" s="19" t="s">
        <v>375</v>
      </c>
      <c r="E342" s="11">
        <f t="shared" si="61"/>
        <v>0</v>
      </c>
      <c r="F342" s="17"/>
      <c r="G342" s="17"/>
      <c r="H342" s="17"/>
      <c r="I342" s="17"/>
      <c r="J342" s="11">
        <f t="shared" si="62"/>
        <v>28916</v>
      </c>
      <c r="K342" s="17">
        <f>70000-41084</f>
        <v>28916</v>
      </c>
      <c r="L342" s="17"/>
      <c r="M342" s="17"/>
      <c r="N342" s="17"/>
      <c r="O342" s="12">
        <f t="shared" si="63"/>
        <v>28916</v>
      </c>
      <c r="P342" s="13">
        <f t="shared" si="64"/>
        <v>28916</v>
      </c>
    </row>
    <row r="343" spans="1:16" s="1" customFormat="1" x14ac:dyDescent="0.2">
      <c r="A343" s="36" t="s">
        <v>373</v>
      </c>
      <c r="B343" s="3" t="s">
        <v>370</v>
      </c>
      <c r="C343" s="3" t="s">
        <v>363</v>
      </c>
      <c r="D343" s="19" t="s">
        <v>376</v>
      </c>
      <c r="E343" s="11">
        <f t="shared" si="61"/>
        <v>0</v>
      </c>
      <c r="F343" s="17"/>
      <c r="G343" s="17"/>
      <c r="H343" s="17"/>
      <c r="I343" s="17"/>
      <c r="J343" s="11">
        <f t="shared" si="62"/>
        <v>36421000</v>
      </c>
      <c r="K343" s="17">
        <f>35255000+1166000</f>
        <v>36421000</v>
      </c>
      <c r="L343" s="17"/>
      <c r="M343" s="17"/>
      <c r="N343" s="17"/>
      <c r="O343" s="12">
        <f t="shared" si="63"/>
        <v>36421000</v>
      </c>
      <c r="P343" s="13">
        <f t="shared" si="64"/>
        <v>36421000</v>
      </c>
    </row>
    <row r="344" spans="1:16" ht="25.5" hidden="1" x14ac:dyDescent="0.2">
      <c r="A344" s="41">
        <v>4713100</v>
      </c>
      <c r="B344" s="4" t="s">
        <v>152</v>
      </c>
      <c r="C344" s="4"/>
      <c r="D344" s="21" t="s">
        <v>16</v>
      </c>
      <c r="E344" s="11">
        <f>E345</f>
        <v>0</v>
      </c>
      <c r="F344" s="11">
        <f t="shared" ref="F344:O344" si="65">F345</f>
        <v>0</v>
      </c>
      <c r="G344" s="11">
        <f t="shared" si="65"/>
        <v>0</v>
      </c>
      <c r="H344" s="11">
        <f t="shared" si="65"/>
        <v>0</v>
      </c>
      <c r="I344" s="11">
        <f t="shared" si="65"/>
        <v>0</v>
      </c>
      <c r="J344" s="11">
        <f t="shared" si="62"/>
        <v>0</v>
      </c>
      <c r="K344" s="11"/>
      <c r="L344" s="11">
        <f t="shared" si="65"/>
        <v>0</v>
      </c>
      <c r="M344" s="11">
        <f t="shared" si="65"/>
        <v>0</v>
      </c>
      <c r="N344" s="11">
        <f t="shared" si="65"/>
        <v>0</v>
      </c>
      <c r="O344" s="11">
        <f t="shared" si="65"/>
        <v>0</v>
      </c>
      <c r="P344" s="13">
        <f t="shared" si="64"/>
        <v>0</v>
      </c>
    </row>
    <row r="345" spans="1:16" s="1" customFormat="1" hidden="1" x14ac:dyDescent="0.2">
      <c r="A345" s="36">
        <v>4713105</v>
      </c>
      <c r="B345" s="3" t="s">
        <v>54</v>
      </c>
      <c r="C345" s="3" t="s">
        <v>61</v>
      </c>
      <c r="D345" s="24" t="s">
        <v>107</v>
      </c>
      <c r="E345" s="10">
        <f>F345+I345</f>
        <v>0</v>
      </c>
      <c r="F345" s="33"/>
      <c r="G345" s="33"/>
      <c r="H345" s="33"/>
      <c r="I345" s="33"/>
      <c r="J345" s="11">
        <f t="shared" si="62"/>
        <v>0</v>
      </c>
      <c r="K345" s="17"/>
      <c r="L345" s="33"/>
      <c r="M345" s="33"/>
      <c r="N345" s="33"/>
      <c r="O345" s="17">
        <f>K345</f>
        <v>0</v>
      </c>
      <c r="P345" s="13">
        <f t="shared" si="64"/>
        <v>0</v>
      </c>
    </row>
    <row r="346" spans="1:16" hidden="1" x14ac:dyDescent="0.2">
      <c r="A346" s="41">
        <v>4715040</v>
      </c>
      <c r="B346" s="20" t="s">
        <v>141</v>
      </c>
      <c r="C346" s="20"/>
      <c r="D346" s="5" t="s">
        <v>142</v>
      </c>
      <c r="E346" s="11">
        <f>E347</f>
        <v>0</v>
      </c>
      <c r="F346" s="11">
        <f t="shared" ref="F346:O346" si="66">F347</f>
        <v>0</v>
      </c>
      <c r="G346" s="11">
        <f t="shared" si="66"/>
        <v>0</v>
      </c>
      <c r="H346" s="11">
        <f t="shared" si="66"/>
        <v>0</v>
      </c>
      <c r="I346" s="11">
        <f t="shared" si="66"/>
        <v>0</v>
      </c>
      <c r="J346" s="11">
        <f t="shared" si="62"/>
        <v>0</v>
      </c>
      <c r="K346" s="11"/>
      <c r="L346" s="11">
        <f t="shared" si="66"/>
        <v>0</v>
      </c>
      <c r="M346" s="11">
        <f t="shared" si="66"/>
        <v>0</v>
      </c>
      <c r="N346" s="11">
        <f t="shared" si="66"/>
        <v>0</v>
      </c>
      <c r="O346" s="11">
        <f t="shared" si="66"/>
        <v>0</v>
      </c>
      <c r="P346" s="13">
        <f t="shared" si="64"/>
        <v>0</v>
      </c>
    </row>
    <row r="347" spans="1:16" hidden="1" x14ac:dyDescent="0.2">
      <c r="A347" s="74">
        <v>4715041</v>
      </c>
      <c r="B347" s="22" t="s">
        <v>143</v>
      </c>
      <c r="C347" s="22" t="s">
        <v>4</v>
      </c>
      <c r="D347" s="24" t="s">
        <v>144</v>
      </c>
      <c r="E347" s="11">
        <f>F347+I347</f>
        <v>0</v>
      </c>
      <c r="F347" s="33"/>
      <c r="G347" s="33"/>
      <c r="H347" s="33"/>
      <c r="I347" s="33"/>
      <c r="J347" s="11">
        <f t="shared" si="62"/>
        <v>0</v>
      </c>
      <c r="K347" s="12"/>
      <c r="L347" s="33"/>
      <c r="M347" s="33"/>
      <c r="N347" s="33"/>
      <c r="O347" s="17">
        <f>K347</f>
        <v>0</v>
      </c>
      <c r="P347" s="13">
        <f t="shared" si="64"/>
        <v>0</v>
      </c>
    </row>
    <row r="348" spans="1:16" hidden="1" x14ac:dyDescent="0.2">
      <c r="A348" s="41">
        <v>4716050</v>
      </c>
      <c r="B348" s="4" t="s">
        <v>153</v>
      </c>
      <c r="C348" s="4"/>
      <c r="D348" s="47" t="s">
        <v>81</v>
      </c>
      <c r="E348" s="11">
        <f t="shared" si="61"/>
        <v>0</v>
      </c>
      <c r="F348" s="30"/>
      <c r="G348" s="30"/>
      <c r="H348" s="30"/>
      <c r="I348" s="30"/>
      <c r="J348" s="11">
        <f t="shared" si="62"/>
        <v>0</v>
      </c>
      <c r="K348" s="30"/>
      <c r="L348" s="30"/>
      <c r="M348" s="30"/>
      <c r="N348" s="30"/>
      <c r="O348" s="30">
        <f>O349</f>
        <v>0</v>
      </c>
      <c r="P348" s="13">
        <f t="shared" si="64"/>
        <v>0</v>
      </c>
    </row>
    <row r="349" spans="1:16" s="1" customFormat="1" hidden="1" x14ac:dyDescent="0.2">
      <c r="A349" s="36">
        <v>4716051</v>
      </c>
      <c r="B349" s="3" t="s">
        <v>57</v>
      </c>
      <c r="C349" s="3" t="s">
        <v>71</v>
      </c>
      <c r="D349" s="90" t="s">
        <v>82</v>
      </c>
      <c r="E349" s="11">
        <f t="shared" si="61"/>
        <v>0</v>
      </c>
      <c r="F349" s="33"/>
      <c r="G349" s="33"/>
      <c r="H349" s="33"/>
      <c r="I349" s="33"/>
      <c r="J349" s="11">
        <f t="shared" si="62"/>
        <v>0</v>
      </c>
      <c r="K349" s="33"/>
      <c r="L349" s="33"/>
      <c r="M349" s="33"/>
      <c r="N349" s="33"/>
      <c r="O349" s="17">
        <f t="shared" ref="O349:O357" si="67">K349</f>
        <v>0</v>
      </c>
      <c r="P349" s="13">
        <f t="shared" si="64"/>
        <v>0</v>
      </c>
    </row>
    <row r="350" spans="1:16" s="1" customFormat="1" ht="38.25" hidden="1" x14ac:dyDescent="0.2">
      <c r="A350" s="36"/>
      <c r="B350" s="3"/>
      <c r="C350" s="3"/>
      <c r="D350" s="69" t="s">
        <v>566</v>
      </c>
      <c r="E350" s="11"/>
      <c r="F350" s="33"/>
      <c r="G350" s="33"/>
      <c r="H350" s="33"/>
      <c r="I350" s="33"/>
      <c r="J350" s="11">
        <f t="shared" si="62"/>
        <v>0</v>
      </c>
      <c r="K350" s="33"/>
      <c r="L350" s="33"/>
      <c r="M350" s="33"/>
      <c r="N350" s="33"/>
      <c r="O350" s="33">
        <f>K350</f>
        <v>0</v>
      </c>
      <c r="P350" s="13">
        <f t="shared" si="64"/>
        <v>0</v>
      </c>
    </row>
    <row r="351" spans="1:16" ht="15.75" customHeight="1" x14ac:dyDescent="0.2">
      <c r="A351" s="41" t="s">
        <v>469</v>
      </c>
      <c r="B351" s="4" t="s">
        <v>470</v>
      </c>
      <c r="C351" s="4" t="s">
        <v>363</v>
      </c>
      <c r="D351" s="21" t="s">
        <v>552</v>
      </c>
      <c r="E351" s="11">
        <f t="shared" si="61"/>
        <v>0</v>
      </c>
      <c r="F351" s="12"/>
      <c r="G351" s="12"/>
      <c r="H351" s="12"/>
      <c r="I351" s="12"/>
      <c r="J351" s="11">
        <f t="shared" si="62"/>
        <v>8964390</v>
      </c>
      <c r="K351" s="12">
        <f>8464390+500000</f>
        <v>8964390</v>
      </c>
      <c r="L351" s="12"/>
      <c r="M351" s="12"/>
      <c r="N351" s="12"/>
      <c r="O351" s="12">
        <f>K351</f>
        <v>8964390</v>
      </c>
      <c r="P351" s="13">
        <f t="shared" si="64"/>
        <v>8964390</v>
      </c>
    </row>
    <row r="352" spans="1:16" ht="27.75" hidden="1" customHeight="1" x14ac:dyDescent="0.2">
      <c r="A352" s="41" t="s">
        <v>483</v>
      </c>
      <c r="B352" s="4" t="s">
        <v>484</v>
      </c>
      <c r="C352" s="4"/>
      <c r="D352" s="21" t="s">
        <v>485</v>
      </c>
      <c r="E352" s="11">
        <f t="shared" si="61"/>
        <v>0</v>
      </c>
      <c r="F352" s="12"/>
      <c r="G352" s="12"/>
      <c r="H352" s="12"/>
      <c r="I352" s="12"/>
      <c r="J352" s="11">
        <f t="shared" si="62"/>
        <v>0</v>
      </c>
      <c r="K352" s="12"/>
      <c r="L352" s="12"/>
      <c r="M352" s="12"/>
      <c r="N352" s="12"/>
      <c r="O352" s="12">
        <f t="shared" si="67"/>
        <v>0</v>
      </c>
      <c r="P352" s="13">
        <f t="shared" si="64"/>
        <v>0</v>
      </c>
    </row>
    <row r="353" spans="1:16" s="1" customFormat="1" ht="25.5" x14ac:dyDescent="0.2">
      <c r="A353" s="36" t="s">
        <v>486</v>
      </c>
      <c r="B353" s="3" t="s">
        <v>487</v>
      </c>
      <c r="C353" s="3" t="s">
        <v>124</v>
      </c>
      <c r="D353" s="19" t="s">
        <v>488</v>
      </c>
      <c r="E353" s="10">
        <f t="shared" si="61"/>
        <v>0</v>
      </c>
      <c r="F353" s="17"/>
      <c r="G353" s="17"/>
      <c r="H353" s="17"/>
      <c r="I353" s="17"/>
      <c r="J353" s="10">
        <f t="shared" si="62"/>
        <v>3492976</v>
      </c>
      <c r="K353" s="17">
        <f>2500000+992976</f>
        <v>3492976</v>
      </c>
      <c r="L353" s="17"/>
      <c r="M353" s="17"/>
      <c r="N353" s="17"/>
      <c r="O353" s="17">
        <f t="shared" si="67"/>
        <v>3492976</v>
      </c>
      <c r="P353" s="16">
        <f t="shared" si="64"/>
        <v>3492976</v>
      </c>
    </row>
    <row r="354" spans="1:16" s="1" customFormat="1" ht="25.5" hidden="1" x14ac:dyDescent="0.2">
      <c r="A354" s="36" t="s">
        <v>511</v>
      </c>
      <c r="B354" s="3" t="s">
        <v>508</v>
      </c>
      <c r="C354" s="3" t="s">
        <v>124</v>
      </c>
      <c r="D354" s="19" t="s">
        <v>509</v>
      </c>
      <c r="E354" s="10">
        <f t="shared" si="61"/>
        <v>0</v>
      </c>
      <c r="F354" s="17"/>
      <c r="G354" s="17"/>
      <c r="H354" s="17"/>
      <c r="I354" s="17"/>
      <c r="J354" s="10">
        <f t="shared" si="62"/>
        <v>0</v>
      </c>
      <c r="K354" s="17"/>
      <c r="L354" s="17"/>
      <c r="M354" s="17"/>
      <c r="N354" s="17"/>
      <c r="O354" s="17">
        <f t="shared" si="67"/>
        <v>0</v>
      </c>
      <c r="P354" s="16">
        <f t="shared" si="64"/>
        <v>0</v>
      </c>
    </row>
    <row r="355" spans="1:16" s="1" customFormat="1" ht="25.5" hidden="1" x14ac:dyDescent="0.2">
      <c r="A355" s="36"/>
      <c r="B355" s="3"/>
      <c r="C355" s="3"/>
      <c r="D355" s="19" t="s">
        <v>510</v>
      </c>
      <c r="E355" s="10">
        <f t="shared" si="61"/>
        <v>0</v>
      </c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>
        <f t="shared" si="67"/>
        <v>0</v>
      </c>
      <c r="P355" s="16">
        <f t="shared" si="64"/>
        <v>0</v>
      </c>
    </row>
    <row r="356" spans="1:16" s="1" customFormat="1" ht="25.5" x14ac:dyDescent="0.2">
      <c r="A356" s="36" t="s">
        <v>500</v>
      </c>
      <c r="B356" s="3" t="s">
        <v>498</v>
      </c>
      <c r="C356" s="3" t="s">
        <v>124</v>
      </c>
      <c r="D356" s="35" t="s">
        <v>501</v>
      </c>
      <c r="E356" s="10">
        <f t="shared" si="61"/>
        <v>0</v>
      </c>
      <c r="F356" s="17"/>
      <c r="G356" s="17"/>
      <c r="H356" s="17"/>
      <c r="I356" s="17"/>
      <c r="J356" s="10">
        <f t="shared" si="62"/>
        <v>90604042</v>
      </c>
      <c r="K356" s="17">
        <f>91251876-257834-390000</f>
        <v>90604042</v>
      </c>
      <c r="L356" s="17"/>
      <c r="M356" s="17"/>
      <c r="N356" s="17"/>
      <c r="O356" s="17">
        <f t="shared" si="67"/>
        <v>90604042</v>
      </c>
      <c r="P356" s="16">
        <f t="shared" si="64"/>
        <v>90604042</v>
      </c>
    </row>
    <row r="357" spans="1:16" s="1" customFormat="1" ht="25.5" x14ac:dyDescent="0.2">
      <c r="A357" s="36"/>
      <c r="B357" s="3"/>
      <c r="C357" s="3"/>
      <c r="D357" s="35" t="s">
        <v>502</v>
      </c>
      <c r="E357" s="10"/>
      <c r="F357" s="17"/>
      <c r="G357" s="17"/>
      <c r="H357" s="17"/>
      <c r="I357" s="17"/>
      <c r="J357" s="10">
        <f t="shared" si="62"/>
        <v>44885444</v>
      </c>
      <c r="K357" s="17">
        <v>44885444</v>
      </c>
      <c r="L357" s="17"/>
      <c r="M357" s="17"/>
      <c r="N357" s="17"/>
      <c r="O357" s="17">
        <f t="shared" si="67"/>
        <v>44885444</v>
      </c>
      <c r="P357" s="16">
        <f t="shared" si="64"/>
        <v>44885444</v>
      </c>
    </row>
    <row r="358" spans="1:16" ht="25.5" hidden="1" x14ac:dyDescent="0.2">
      <c r="A358" s="41" t="s">
        <v>586</v>
      </c>
      <c r="B358" s="8" t="s">
        <v>587</v>
      </c>
      <c r="C358" s="4" t="s">
        <v>124</v>
      </c>
      <c r="D358" s="77" t="s">
        <v>588</v>
      </c>
      <c r="E358" s="11">
        <f t="shared" si="61"/>
        <v>0</v>
      </c>
      <c r="F358" s="12"/>
      <c r="G358" s="12"/>
      <c r="H358" s="12"/>
      <c r="I358" s="12"/>
      <c r="J358" s="10">
        <f t="shared" si="62"/>
        <v>0</v>
      </c>
      <c r="K358" s="12"/>
      <c r="L358" s="12"/>
      <c r="M358" s="12"/>
      <c r="N358" s="12"/>
      <c r="O358" s="12">
        <f>K358</f>
        <v>0</v>
      </c>
      <c r="P358" s="13">
        <f t="shared" si="64"/>
        <v>0</v>
      </c>
    </row>
    <row r="359" spans="1:16" s="1" customFormat="1" ht="51" hidden="1" x14ac:dyDescent="0.2">
      <c r="A359" s="36"/>
      <c r="B359" s="18"/>
      <c r="C359" s="3"/>
      <c r="D359" s="35" t="s">
        <v>589</v>
      </c>
      <c r="E359" s="10"/>
      <c r="F359" s="17"/>
      <c r="G359" s="17"/>
      <c r="H359" s="17"/>
      <c r="I359" s="17"/>
      <c r="J359" s="10">
        <f t="shared" si="62"/>
        <v>0</v>
      </c>
      <c r="K359" s="17"/>
      <c r="L359" s="17"/>
      <c r="M359" s="17"/>
      <c r="N359" s="17"/>
      <c r="O359" s="17"/>
      <c r="P359" s="13">
        <f t="shared" si="64"/>
        <v>0</v>
      </c>
    </row>
    <row r="360" spans="1:16" s="1" customFormat="1" ht="25.5" x14ac:dyDescent="0.2">
      <c r="A360" s="36" t="s">
        <v>544</v>
      </c>
      <c r="B360" s="22" t="s">
        <v>322</v>
      </c>
      <c r="C360" s="3" t="s">
        <v>72</v>
      </c>
      <c r="D360" s="19" t="s">
        <v>321</v>
      </c>
      <c r="E360" s="10">
        <f t="shared" si="61"/>
        <v>43310000</v>
      </c>
      <c r="F360" s="17">
        <v>43310000</v>
      </c>
      <c r="G360" s="17"/>
      <c r="H360" s="17"/>
      <c r="I360" s="17"/>
      <c r="J360" s="11">
        <f t="shared" ref="J360:J366" si="68">L360+O360</f>
        <v>14252539</v>
      </c>
      <c r="K360" s="99">
        <f>16622139-2369600</f>
        <v>14252539</v>
      </c>
      <c r="L360" s="17"/>
      <c r="M360" s="17"/>
      <c r="N360" s="17"/>
      <c r="O360" s="17">
        <f>K360</f>
        <v>14252539</v>
      </c>
      <c r="P360" s="16">
        <f t="shared" si="64"/>
        <v>57562539</v>
      </c>
    </row>
    <row r="361" spans="1:16" s="1" customFormat="1" ht="25.5" hidden="1" x14ac:dyDescent="0.2">
      <c r="A361" s="36"/>
      <c r="B361" s="3"/>
      <c r="C361" s="3"/>
      <c r="D361" s="35" t="s">
        <v>502</v>
      </c>
      <c r="E361" s="10">
        <f t="shared" si="61"/>
        <v>0</v>
      </c>
      <c r="F361" s="17"/>
      <c r="G361" s="17"/>
      <c r="H361" s="17"/>
      <c r="I361" s="17"/>
      <c r="J361" s="11">
        <f t="shared" si="68"/>
        <v>0</v>
      </c>
      <c r="K361" s="17"/>
      <c r="L361" s="17"/>
      <c r="M361" s="17"/>
      <c r="N361" s="17"/>
      <c r="O361" s="17">
        <f>K361</f>
        <v>0</v>
      </c>
      <c r="P361" s="16">
        <f t="shared" si="64"/>
        <v>0</v>
      </c>
    </row>
    <row r="362" spans="1:16" hidden="1" x14ac:dyDescent="0.2">
      <c r="A362" s="41" t="s">
        <v>551</v>
      </c>
      <c r="B362" s="3" t="s">
        <v>187</v>
      </c>
      <c r="C362" s="3" t="s">
        <v>124</v>
      </c>
      <c r="D362" s="73" t="s">
        <v>188</v>
      </c>
      <c r="E362" s="10">
        <f t="shared" si="61"/>
        <v>0</v>
      </c>
      <c r="F362" s="12"/>
      <c r="G362" s="12"/>
      <c r="H362" s="12"/>
      <c r="I362" s="12"/>
      <c r="J362" s="11">
        <f t="shared" si="68"/>
        <v>0</v>
      </c>
      <c r="K362" s="12"/>
      <c r="L362" s="12"/>
      <c r="M362" s="12"/>
      <c r="N362" s="12"/>
      <c r="O362" s="17">
        <f>K362</f>
        <v>0</v>
      </c>
      <c r="P362" s="16">
        <f t="shared" si="64"/>
        <v>0</v>
      </c>
    </row>
    <row r="363" spans="1:16" hidden="1" x14ac:dyDescent="0.2">
      <c r="A363" s="41" t="s">
        <v>569</v>
      </c>
      <c r="B363" s="20" t="s">
        <v>463</v>
      </c>
      <c r="C363" s="20" t="s">
        <v>126</v>
      </c>
      <c r="D363" s="24" t="s">
        <v>130</v>
      </c>
      <c r="E363" s="10">
        <f t="shared" si="61"/>
        <v>0</v>
      </c>
      <c r="F363" s="30"/>
      <c r="G363" s="30"/>
      <c r="H363" s="30"/>
      <c r="I363" s="30"/>
      <c r="J363" s="11">
        <f t="shared" si="68"/>
        <v>0</v>
      </c>
      <c r="K363" s="30"/>
      <c r="L363" s="30"/>
      <c r="M363" s="30"/>
      <c r="N363" s="30"/>
      <c r="O363" s="12"/>
      <c r="P363" s="13">
        <f t="shared" si="64"/>
        <v>0</v>
      </c>
    </row>
    <row r="364" spans="1:16" ht="15" hidden="1" customHeight="1" x14ac:dyDescent="0.2">
      <c r="A364" s="41"/>
      <c r="B364" s="20"/>
      <c r="C364" s="20"/>
      <c r="D364" s="24" t="s">
        <v>476</v>
      </c>
      <c r="E364" s="10">
        <f>F364+I364</f>
        <v>0</v>
      </c>
      <c r="F364" s="33"/>
      <c r="G364" s="33"/>
      <c r="H364" s="33"/>
      <c r="I364" s="33"/>
      <c r="J364" s="10">
        <f>L364+O364</f>
        <v>0</v>
      </c>
      <c r="K364" s="33"/>
      <c r="L364" s="33"/>
      <c r="M364" s="33"/>
      <c r="N364" s="33"/>
      <c r="O364" s="33"/>
      <c r="P364" s="16">
        <f>E364+J364</f>
        <v>0</v>
      </c>
    </row>
    <row r="365" spans="1:16" s="1" customFormat="1" ht="25.5" hidden="1" x14ac:dyDescent="0.2">
      <c r="A365" s="36" t="s">
        <v>567</v>
      </c>
      <c r="B365" s="22" t="s">
        <v>568</v>
      </c>
      <c r="C365" s="22" t="s">
        <v>354</v>
      </c>
      <c r="D365" s="21" t="s">
        <v>570</v>
      </c>
      <c r="E365" s="10">
        <f t="shared" si="61"/>
        <v>0</v>
      </c>
      <c r="F365" s="33"/>
      <c r="G365" s="33"/>
      <c r="H365" s="33"/>
      <c r="I365" s="33"/>
      <c r="J365" s="10">
        <f t="shared" si="68"/>
        <v>0</v>
      </c>
      <c r="K365" s="33"/>
      <c r="L365" s="33"/>
      <c r="M365" s="33"/>
      <c r="N365" s="33"/>
      <c r="O365" s="33"/>
      <c r="P365" s="16">
        <f t="shared" si="64"/>
        <v>0</v>
      </c>
    </row>
    <row r="366" spans="1:16" s="1" customFormat="1" ht="25.5" hidden="1" x14ac:dyDescent="0.2">
      <c r="A366" s="36"/>
      <c r="B366" s="22"/>
      <c r="C366" s="22"/>
      <c r="D366" s="24" t="s">
        <v>565</v>
      </c>
      <c r="E366" s="10"/>
      <c r="F366" s="33"/>
      <c r="G366" s="33"/>
      <c r="H366" s="33"/>
      <c r="I366" s="33"/>
      <c r="J366" s="10">
        <f t="shared" si="68"/>
        <v>0</v>
      </c>
      <c r="K366" s="33"/>
      <c r="L366" s="33"/>
      <c r="M366" s="33"/>
      <c r="N366" s="33"/>
      <c r="O366" s="33">
        <f>O365</f>
        <v>0</v>
      </c>
      <c r="P366" s="16">
        <f t="shared" si="64"/>
        <v>0</v>
      </c>
    </row>
    <row r="367" spans="1:16" x14ac:dyDescent="0.2">
      <c r="A367" s="41" t="s">
        <v>659</v>
      </c>
      <c r="B367" s="20" t="s">
        <v>179</v>
      </c>
      <c r="C367" s="4" t="s">
        <v>125</v>
      </c>
      <c r="D367" s="47" t="s">
        <v>80</v>
      </c>
      <c r="E367" s="11"/>
      <c r="F367" s="30"/>
      <c r="G367" s="30"/>
      <c r="H367" s="30"/>
      <c r="I367" s="30"/>
      <c r="J367" s="11">
        <f>L367+O367</f>
        <v>50000</v>
      </c>
      <c r="K367" s="30">
        <v>50000</v>
      </c>
      <c r="L367" s="30"/>
      <c r="M367" s="30"/>
      <c r="N367" s="30"/>
      <c r="O367" s="12">
        <f>K367</f>
        <v>50000</v>
      </c>
      <c r="P367" s="13">
        <f>E367+J367</f>
        <v>50000</v>
      </c>
    </row>
    <row r="368" spans="1:16" x14ac:dyDescent="0.2">
      <c r="A368" s="41" t="s">
        <v>660</v>
      </c>
      <c r="B368" s="4" t="s">
        <v>178</v>
      </c>
      <c r="C368" s="4" t="s">
        <v>124</v>
      </c>
      <c r="D368" s="72" t="s">
        <v>330</v>
      </c>
      <c r="E368" s="11">
        <f>F368+I368</f>
        <v>0</v>
      </c>
      <c r="F368" s="11"/>
      <c r="G368" s="11"/>
      <c r="H368" s="11"/>
      <c r="I368" s="11"/>
      <c r="J368" s="11">
        <f>L368+O368</f>
        <v>1844500</v>
      </c>
      <c r="K368" s="11">
        <f>1839500+5000</f>
        <v>1844500</v>
      </c>
      <c r="L368" s="11"/>
      <c r="M368" s="11"/>
      <c r="N368" s="11"/>
      <c r="O368" s="12">
        <f>K368</f>
        <v>1844500</v>
      </c>
      <c r="P368" s="13">
        <f>E368+J368</f>
        <v>1844500</v>
      </c>
    </row>
    <row r="369" spans="1:18" s="1" customFormat="1" x14ac:dyDescent="0.2">
      <c r="A369" s="36" t="s">
        <v>569</v>
      </c>
      <c r="B369" s="22" t="s">
        <v>463</v>
      </c>
      <c r="C369" s="4" t="s">
        <v>126</v>
      </c>
      <c r="D369" s="14" t="s">
        <v>130</v>
      </c>
      <c r="E369" s="11"/>
      <c r="F369" s="33"/>
      <c r="G369" s="33"/>
      <c r="H369" s="33"/>
      <c r="I369" s="33"/>
      <c r="J369" s="11">
        <f>L369+O369</f>
        <v>31436000</v>
      </c>
      <c r="K369" s="33"/>
      <c r="L369" s="33"/>
      <c r="M369" s="33"/>
      <c r="N369" s="33"/>
      <c r="O369" s="33">
        <f>O370</f>
        <v>31436000</v>
      </c>
      <c r="P369" s="13">
        <f>E369+J369</f>
        <v>31436000</v>
      </c>
    </row>
    <row r="370" spans="1:18" s="1" customFormat="1" ht="13.5" customHeight="1" x14ac:dyDescent="0.2">
      <c r="A370" s="36"/>
      <c r="B370" s="22"/>
      <c r="C370" s="3"/>
      <c r="D370" s="24" t="s">
        <v>476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v>31436000</v>
      </c>
      <c r="P370" s="13">
        <f>E370+J370</f>
        <v>31436000</v>
      </c>
    </row>
    <row r="371" spans="1:18" s="1" customFormat="1" ht="25.5" x14ac:dyDescent="0.2">
      <c r="A371" s="36" t="s">
        <v>2</v>
      </c>
      <c r="B371" s="22" t="s">
        <v>1</v>
      </c>
      <c r="C371" s="22" t="s">
        <v>71</v>
      </c>
      <c r="D371" s="24" t="s">
        <v>0</v>
      </c>
      <c r="E371" s="11">
        <f>F371+I371</f>
        <v>830000</v>
      </c>
      <c r="F371" s="33">
        <f>260000+570000</f>
        <v>830000</v>
      </c>
      <c r="G371" s="33"/>
      <c r="H371" s="33"/>
      <c r="I371" s="33"/>
      <c r="J371" s="11">
        <f>L371+O371</f>
        <v>0</v>
      </c>
      <c r="K371" s="33"/>
      <c r="L371" s="33"/>
      <c r="M371" s="33"/>
      <c r="N371" s="33"/>
      <c r="O371" s="33"/>
      <c r="P371" s="13">
        <f>E371+J371</f>
        <v>830000</v>
      </c>
    </row>
    <row r="372" spans="1:18" ht="15.75" customHeight="1" x14ac:dyDescent="0.2">
      <c r="A372" s="62">
        <v>3100000</v>
      </c>
      <c r="B372" s="6"/>
      <c r="C372" s="7"/>
      <c r="D372" s="31" t="s">
        <v>73</v>
      </c>
      <c r="E372" s="25">
        <f>E374</f>
        <v>2084600</v>
      </c>
      <c r="F372" s="25">
        <f t="shared" ref="F372:O372" si="69">F374</f>
        <v>2084600</v>
      </c>
      <c r="G372" s="25">
        <f t="shared" si="69"/>
        <v>1500000</v>
      </c>
      <c r="H372" s="25">
        <f t="shared" si="69"/>
        <v>0</v>
      </c>
      <c r="I372" s="25">
        <f t="shared" si="69"/>
        <v>0</v>
      </c>
      <c r="J372" s="25">
        <f t="shared" si="69"/>
        <v>427000</v>
      </c>
      <c r="K372" s="25">
        <f>K374</f>
        <v>427000</v>
      </c>
      <c r="L372" s="25">
        <f t="shared" si="69"/>
        <v>0</v>
      </c>
      <c r="M372" s="25">
        <f t="shared" si="69"/>
        <v>0</v>
      </c>
      <c r="N372" s="25">
        <f t="shared" si="69"/>
        <v>0</v>
      </c>
      <c r="O372" s="25">
        <f t="shared" si="69"/>
        <v>427000</v>
      </c>
      <c r="P372" s="13">
        <f t="shared" si="64"/>
        <v>2511600</v>
      </c>
      <c r="R372" s="34"/>
    </row>
    <row r="373" spans="1:18" s="1" customFormat="1" hidden="1" x14ac:dyDescent="0.2">
      <c r="A373" s="36"/>
      <c r="B373" s="18"/>
      <c r="C373" s="3"/>
      <c r="D373" s="15" t="s">
        <v>475</v>
      </c>
      <c r="E373" s="17"/>
      <c r="F373" s="17"/>
      <c r="G373" s="17"/>
      <c r="H373" s="17"/>
      <c r="I373" s="17"/>
      <c r="J373" s="17">
        <f>J378</f>
        <v>0</v>
      </c>
      <c r="K373" s="17">
        <f>K378</f>
        <v>0</v>
      </c>
      <c r="L373" s="17"/>
      <c r="M373" s="17"/>
      <c r="N373" s="17"/>
      <c r="O373" s="25">
        <f>K373</f>
        <v>0</v>
      </c>
      <c r="P373" s="13">
        <f>E373+J373</f>
        <v>0</v>
      </c>
    </row>
    <row r="374" spans="1:18" x14ac:dyDescent="0.2">
      <c r="A374" s="41" t="s">
        <v>338</v>
      </c>
      <c r="B374" s="8"/>
      <c r="C374" s="7"/>
      <c r="D374" s="15" t="s">
        <v>73</v>
      </c>
      <c r="E374" s="25">
        <f>E375+E376+E379+E384</f>
        <v>2084600</v>
      </c>
      <c r="F374" s="25">
        <f>F375+F376+F379+F384+F385</f>
        <v>2084600</v>
      </c>
      <c r="G374" s="25">
        <f>G375+G376+G379+G384</f>
        <v>1500000</v>
      </c>
      <c r="H374" s="25">
        <f>H375+H376+H379+H384</f>
        <v>0</v>
      </c>
      <c r="I374" s="25">
        <f>I375+I376+I379+I384</f>
        <v>0</v>
      </c>
      <c r="J374" s="25">
        <f t="shared" ref="J374:O374" si="70">J375+J376+J379+J384+J380+J383</f>
        <v>427000</v>
      </c>
      <c r="K374" s="25">
        <f t="shared" si="70"/>
        <v>427000</v>
      </c>
      <c r="L374" s="25">
        <f t="shared" si="70"/>
        <v>0</v>
      </c>
      <c r="M374" s="25">
        <f t="shared" si="70"/>
        <v>0</v>
      </c>
      <c r="N374" s="25">
        <f t="shared" si="70"/>
        <v>0</v>
      </c>
      <c r="O374" s="25">
        <f t="shared" si="70"/>
        <v>427000</v>
      </c>
      <c r="P374" s="25">
        <f>P375+P376+P379+P384</f>
        <v>2511600</v>
      </c>
    </row>
    <row r="375" spans="1:18" ht="25.5" x14ac:dyDescent="0.2">
      <c r="A375" s="41" t="s">
        <v>339</v>
      </c>
      <c r="B375" s="4" t="s">
        <v>190</v>
      </c>
      <c r="C375" s="4" t="s">
        <v>118</v>
      </c>
      <c r="D375" s="14" t="s">
        <v>603</v>
      </c>
      <c r="E375" s="11">
        <f t="shared" ref="E375:E381" si="71">F375+I375</f>
        <v>1885600</v>
      </c>
      <c r="F375" s="12">
        <v>1885600</v>
      </c>
      <c r="G375" s="12">
        <v>1500000</v>
      </c>
      <c r="H375" s="12"/>
      <c r="I375" s="12"/>
      <c r="J375" s="11">
        <f>L375+O375</f>
        <v>228000</v>
      </c>
      <c r="K375" s="12">
        <v>228000</v>
      </c>
      <c r="L375" s="12"/>
      <c r="M375" s="12"/>
      <c r="N375" s="12"/>
      <c r="O375" s="12">
        <f>K375</f>
        <v>228000</v>
      </c>
      <c r="P375" s="13">
        <f t="shared" ref="P375:P389" si="72">E375+J375</f>
        <v>2113600</v>
      </c>
    </row>
    <row r="376" spans="1:18" hidden="1" x14ac:dyDescent="0.2">
      <c r="A376" s="41" t="s">
        <v>342</v>
      </c>
      <c r="B376" s="4" t="s">
        <v>341</v>
      </c>
      <c r="C376" s="4" t="s">
        <v>123</v>
      </c>
      <c r="D376" s="21" t="s">
        <v>340</v>
      </c>
      <c r="E376" s="11">
        <f t="shared" si="71"/>
        <v>0</v>
      </c>
      <c r="F376" s="12"/>
      <c r="G376" s="12"/>
      <c r="H376" s="12"/>
      <c r="I376" s="12"/>
      <c r="J376" s="11">
        <f>L376+O376</f>
        <v>0</v>
      </c>
      <c r="K376" s="12"/>
      <c r="L376" s="12"/>
      <c r="M376" s="12"/>
      <c r="N376" s="12"/>
      <c r="O376" s="12">
        <f>K376</f>
        <v>0</v>
      </c>
      <c r="P376" s="13">
        <f t="shared" si="72"/>
        <v>0</v>
      </c>
    </row>
    <row r="377" spans="1:18" s="1" customFormat="1" ht="17.25" hidden="1" customHeight="1" x14ac:dyDescent="0.2">
      <c r="A377" s="36" t="s">
        <v>351</v>
      </c>
      <c r="B377" s="3" t="s">
        <v>350</v>
      </c>
      <c r="C377" s="3" t="s">
        <v>121</v>
      </c>
      <c r="D377" s="73" t="s">
        <v>349</v>
      </c>
      <c r="E377" s="11">
        <f>F377+I377</f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>E377+J377</f>
        <v>0</v>
      </c>
    </row>
    <row r="378" spans="1:18" s="1" customFormat="1" hidden="1" x14ac:dyDescent="0.2">
      <c r="A378" s="36"/>
      <c r="B378" s="3"/>
      <c r="C378" s="3"/>
      <c r="D378" s="73" t="s">
        <v>475</v>
      </c>
      <c r="E378" s="10"/>
      <c r="F378" s="10"/>
      <c r="G378" s="10"/>
      <c r="H378" s="10"/>
      <c r="I378" s="10"/>
      <c r="J378" s="11">
        <f>K378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x14ac:dyDescent="0.2">
      <c r="A379" s="41" t="s">
        <v>345</v>
      </c>
      <c r="B379" s="4" t="s">
        <v>344</v>
      </c>
      <c r="C379" s="4" t="s">
        <v>124</v>
      </c>
      <c r="D379" s="5" t="s">
        <v>343</v>
      </c>
      <c r="E379" s="11">
        <f t="shared" si="71"/>
        <v>0</v>
      </c>
      <c r="F379" s="12"/>
      <c r="G379" s="12"/>
      <c r="H379" s="12"/>
      <c r="I379" s="12"/>
      <c r="J379" s="11">
        <f>L379+O379</f>
        <v>199000</v>
      </c>
      <c r="K379" s="12">
        <v>199000</v>
      </c>
      <c r="L379" s="12"/>
      <c r="M379" s="12"/>
      <c r="N379" s="12"/>
      <c r="O379" s="12">
        <f>K379</f>
        <v>199000</v>
      </c>
      <c r="P379" s="13">
        <f t="shared" si="72"/>
        <v>199000</v>
      </c>
    </row>
    <row r="380" spans="1:18" ht="17.25" hidden="1" customHeight="1" x14ac:dyDescent="0.2">
      <c r="A380" s="41" t="s">
        <v>348</v>
      </c>
      <c r="B380" s="4" t="s">
        <v>347</v>
      </c>
      <c r="C380" s="4"/>
      <c r="D380" s="72" t="s">
        <v>346</v>
      </c>
      <c r="E380" s="11">
        <f t="shared" si="71"/>
        <v>0</v>
      </c>
      <c r="F380" s="11"/>
      <c r="G380" s="11"/>
      <c r="H380" s="11">
        <f>H377</f>
        <v>0</v>
      </c>
      <c r="I380" s="11">
        <f>I377</f>
        <v>0</v>
      </c>
      <c r="J380" s="11">
        <f t="shared" ref="J380:O380" si="73">J377+J381</f>
        <v>0</v>
      </c>
      <c r="K380" s="11">
        <f t="shared" si="73"/>
        <v>0</v>
      </c>
      <c r="L380" s="11">
        <f t="shared" si="73"/>
        <v>0</v>
      </c>
      <c r="M380" s="11">
        <f t="shared" si="73"/>
        <v>0</v>
      </c>
      <c r="N380" s="11">
        <f t="shared" si="73"/>
        <v>0</v>
      </c>
      <c r="O380" s="11">
        <f t="shared" si="73"/>
        <v>0</v>
      </c>
      <c r="P380" s="13">
        <f t="shared" si="72"/>
        <v>0</v>
      </c>
    </row>
    <row r="381" spans="1:18" s="1" customFormat="1" ht="38.25" hidden="1" x14ac:dyDescent="0.2">
      <c r="A381" s="36" t="s">
        <v>519</v>
      </c>
      <c r="B381" s="3" t="s">
        <v>520</v>
      </c>
      <c r="C381" s="3"/>
      <c r="D381" s="82" t="s">
        <v>521</v>
      </c>
      <c r="E381" s="11">
        <f t="shared" si="71"/>
        <v>0</v>
      </c>
      <c r="F381" s="10"/>
      <c r="G381" s="10"/>
      <c r="H381" s="10"/>
      <c r="I381" s="10"/>
      <c r="J381" s="11">
        <f>L381+O381</f>
        <v>0</v>
      </c>
      <c r="K381" s="10"/>
      <c r="L381" s="10"/>
      <c r="M381" s="10"/>
      <c r="N381" s="10"/>
      <c r="O381" s="10">
        <f>K381</f>
        <v>0</v>
      </c>
      <c r="P381" s="13">
        <f t="shared" si="72"/>
        <v>0</v>
      </c>
    </row>
    <row r="382" spans="1:18" s="1" customFormat="1" ht="51" hidden="1" x14ac:dyDescent="0.2">
      <c r="A382" s="36"/>
      <c r="B382" s="3"/>
      <c r="C382" s="3"/>
      <c r="D382" s="73" t="s">
        <v>522</v>
      </c>
      <c r="E382" s="11"/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2"/>
        <v>0</v>
      </c>
    </row>
    <row r="383" spans="1:18" hidden="1" x14ac:dyDescent="0.2">
      <c r="A383" s="41" t="s">
        <v>468</v>
      </c>
      <c r="B383" s="4" t="s">
        <v>178</v>
      </c>
      <c r="C383" s="4" t="s">
        <v>124</v>
      </c>
      <c r="D383" s="82" t="s">
        <v>330</v>
      </c>
      <c r="E383" s="11"/>
      <c r="F383" s="11"/>
      <c r="G383" s="11"/>
      <c r="H383" s="11"/>
      <c r="I383" s="11"/>
      <c r="J383" s="11">
        <f>L383+O383</f>
        <v>0</v>
      </c>
      <c r="K383" s="11"/>
      <c r="L383" s="11"/>
      <c r="M383" s="11"/>
      <c r="N383" s="11"/>
      <c r="O383" s="11">
        <f>K383</f>
        <v>0</v>
      </c>
      <c r="P383" s="13">
        <f t="shared" si="72"/>
        <v>0</v>
      </c>
    </row>
    <row r="384" spans="1:18" hidden="1" x14ac:dyDescent="0.2">
      <c r="A384" s="41" t="s">
        <v>451</v>
      </c>
      <c r="B384" s="4" t="s">
        <v>183</v>
      </c>
      <c r="C384" s="4"/>
      <c r="D384" s="82" t="s">
        <v>185</v>
      </c>
      <c r="E384" s="11">
        <f>E385</f>
        <v>199000</v>
      </c>
      <c r="F384" s="11"/>
      <c r="G384" s="11"/>
      <c r="H384" s="11">
        <f t="shared" ref="H384:O384" si="74">H385</f>
        <v>0</v>
      </c>
      <c r="I384" s="11">
        <f t="shared" si="74"/>
        <v>0</v>
      </c>
      <c r="J384" s="11">
        <f t="shared" si="74"/>
        <v>0</v>
      </c>
      <c r="K384" s="11">
        <f>K385</f>
        <v>0</v>
      </c>
      <c r="L384" s="11">
        <f t="shared" si="74"/>
        <v>0</v>
      </c>
      <c r="M384" s="11">
        <f t="shared" si="74"/>
        <v>0</v>
      </c>
      <c r="N384" s="11">
        <f t="shared" si="74"/>
        <v>0</v>
      </c>
      <c r="O384" s="11">
        <f t="shared" si="74"/>
        <v>0</v>
      </c>
      <c r="P384" s="13">
        <f t="shared" si="72"/>
        <v>199000</v>
      </c>
    </row>
    <row r="385" spans="1:18" ht="15" customHeight="1" x14ac:dyDescent="0.2">
      <c r="A385" s="41" t="s">
        <v>452</v>
      </c>
      <c r="B385" s="4" t="s">
        <v>187</v>
      </c>
      <c r="C385" s="4" t="s">
        <v>124</v>
      </c>
      <c r="D385" s="82" t="s">
        <v>188</v>
      </c>
      <c r="E385" s="11">
        <f>F385+I385</f>
        <v>199000</v>
      </c>
      <c r="F385" s="11">
        <v>199000</v>
      </c>
      <c r="G385" s="11"/>
      <c r="H385" s="11"/>
      <c r="I385" s="11"/>
      <c r="J385" s="11">
        <f>L385+O385</f>
        <v>0</v>
      </c>
      <c r="K385" s="11"/>
      <c r="L385" s="11"/>
      <c r="M385" s="11"/>
      <c r="N385" s="11"/>
      <c r="O385" s="11"/>
      <c r="P385" s="13">
        <f t="shared" si="72"/>
        <v>199000</v>
      </c>
    </row>
    <row r="386" spans="1:18" ht="25.5" x14ac:dyDescent="0.2">
      <c r="A386" s="62" t="s">
        <v>645</v>
      </c>
      <c r="B386" s="6"/>
      <c r="C386" s="7"/>
      <c r="D386" s="31" t="s">
        <v>648</v>
      </c>
      <c r="E386" s="25">
        <f>E387</f>
        <v>4260000</v>
      </c>
      <c r="F386" s="25">
        <f t="shared" ref="F386:P387" si="75">F387</f>
        <v>4260000</v>
      </c>
      <c r="G386" s="25">
        <f t="shared" si="75"/>
        <v>3370100</v>
      </c>
      <c r="H386" s="25">
        <f t="shared" si="75"/>
        <v>110000</v>
      </c>
      <c r="I386" s="25">
        <f t="shared" si="75"/>
        <v>0</v>
      </c>
      <c r="J386" s="25">
        <f t="shared" si="75"/>
        <v>0</v>
      </c>
      <c r="K386" s="25">
        <f t="shared" si="75"/>
        <v>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0</v>
      </c>
      <c r="P386" s="25">
        <f t="shared" si="75"/>
        <v>4260000</v>
      </c>
      <c r="R386" s="34"/>
    </row>
    <row r="387" spans="1:18" ht="25.5" x14ac:dyDescent="0.2">
      <c r="A387" s="41" t="s">
        <v>646</v>
      </c>
      <c r="B387" s="8"/>
      <c r="C387" s="7"/>
      <c r="D387" s="15" t="s">
        <v>648</v>
      </c>
      <c r="E387" s="25">
        <f>E388</f>
        <v>4260000</v>
      </c>
      <c r="F387" s="25">
        <f t="shared" si="75"/>
        <v>4260000</v>
      </c>
      <c r="G387" s="25">
        <f t="shared" si="75"/>
        <v>3370100</v>
      </c>
      <c r="H387" s="25">
        <f t="shared" si="75"/>
        <v>110000</v>
      </c>
      <c r="I387" s="25">
        <f t="shared" si="75"/>
        <v>0</v>
      </c>
      <c r="J387" s="25">
        <f t="shared" si="75"/>
        <v>0</v>
      </c>
      <c r="K387" s="25">
        <f t="shared" si="75"/>
        <v>0</v>
      </c>
      <c r="L387" s="25">
        <f t="shared" si="75"/>
        <v>0</v>
      </c>
      <c r="M387" s="25">
        <f t="shared" si="75"/>
        <v>0</v>
      </c>
      <c r="N387" s="25">
        <f t="shared" si="75"/>
        <v>0</v>
      </c>
      <c r="O387" s="25">
        <f t="shared" si="75"/>
        <v>0</v>
      </c>
      <c r="P387" s="25">
        <f t="shared" si="75"/>
        <v>4260000</v>
      </c>
    </row>
    <row r="388" spans="1:18" ht="25.9" customHeight="1" x14ac:dyDescent="0.2">
      <c r="A388" s="41" t="s">
        <v>647</v>
      </c>
      <c r="B388" s="4" t="s">
        <v>190</v>
      </c>
      <c r="C388" s="4" t="s">
        <v>118</v>
      </c>
      <c r="D388" s="14" t="s">
        <v>603</v>
      </c>
      <c r="E388" s="11">
        <f>F388+I388</f>
        <v>4260000</v>
      </c>
      <c r="F388" s="12">
        <f>3794000+366000+100000</f>
        <v>4260000</v>
      </c>
      <c r="G388" s="12">
        <f>3070100+300000</f>
        <v>3370100</v>
      </c>
      <c r="H388" s="12">
        <f>78500+31500</f>
        <v>110000</v>
      </c>
      <c r="I388" s="12"/>
      <c r="J388" s="11">
        <f>L388+O388</f>
        <v>0</v>
      </c>
      <c r="K388" s="12"/>
      <c r="L388" s="12"/>
      <c r="M388" s="12"/>
      <c r="N388" s="12"/>
      <c r="O388" s="12">
        <f>K388</f>
        <v>0</v>
      </c>
      <c r="P388" s="13">
        <f>E388+J388</f>
        <v>4260000</v>
      </c>
    </row>
    <row r="389" spans="1:18" ht="15" customHeight="1" x14ac:dyDescent="0.2">
      <c r="A389" s="62">
        <v>3700000</v>
      </c>
      <c r="B389" s="6"/>
      <c r="C389" s="7"/>
      <c r="D389" s="31" t="s">
        <v>74</v>
      </c>
      <c r="E389" s="25">
        <f>E390</f>
        <v>27795400</v>
      </c>
      <c r="F389" s="25">
        <f t="shared" ref="F389:O389" si="76">F390</f>
        <v>24350400</v>
      </c>
      <c r="G389" s="25">
        <f t="shared" si="76"/>
        <v>7380000</v>
      </c>
      <c r="H389" s="25">
        <f t="shared" si="76"/>
        <v>102000</v>
      </c>
      <c r="I389" s="25">
        <f t="shared" si="76"/>
        <v>0</v>
      </c>
      <c r="J389" s="25">
        <f t="shared" si="76"/>
        <v>7522811</v>
      </c>
      <c r="K389" s="25">
        <f>K390</f>
        <v>7522811</v>
      </c>
      <c r="L389" s="25">
        <f t="shared" si="76"/>
        <v>0</v>
      </c>
      <c r="M389" s="25">
        <f t="shared" si="76"/>
        <v>0</v>
      </c>
      <c r="N389" s="25">
        <f t="shared" si="76"/>
        <v>0</v>
      </c>
      <c r="O389" s="25">
        <f t="shared" si="76"/>
        <v>7522811</v>
      </c>
      <c r="P389" s="13">
        <f t="shared" si="72"/>
        <v>35318211</v>
      </c>
      <c r="R389" s="34"/>
    </row>
    <row r="390" spans="1:18" x14ac:dyDescent="0.2">
      <c r="A390" s="41" t="s">
        <v>352</v>
      </c>
      <c r="B390" s="8"/>
      <c r="C390" s="7"/>
      <c r="D390" s="15" t="s">
        <v>74</v>
      </c>
      <c r="E390" s="25">
        <f>E391+E393+E395+E392+E394</f>
        <v>27795400</v>
      </c>
      <c r="F390" s="25">
        <f t="shared" ref="F390:P390" si="77">F391+F393+F395+F392+F394</f>
        <v>24350400</v>
      </c>
      <c r="G390" s="25">
        <f t="shared" si="77"/>
        <v>7380000</v>
      </c>
      <c r="H390" s="25">
        <f t="shared" si="77"/>
        <v>102000</v>
      </c>
      <c r="I390" s="25">
        <f t="shared" si="77"/>
        <v>0</v>
      </c>
      <c r="J390" s="25">
        <f>J391+J393+J395+J392+J394</f>
        <v>7522811</v>
      </c>
      <c r="K390" s="25">
        <f>K391+K393+K395+K392+K394</f>
        <v>7522811</v>
      </c>
      <c r="L390" s="25">
        <f t="shared" si="77"/>
        <v>0</v>
      </c>
      <c r="M390" s="25">
        <f t="shared" si="77"/>
        <v>0</v>
      </c>
      <c r="N390" s="25">
        <f t="shared" si="77"/>
        <v>0</v>
      </c>
      <c r="O390" s="25">
        <f t="shared" si="77"/>
        <v>7522811</v>
      </c>
      <c r="P390" s="25">
        <f t="shared" si="77"/>
        <v>35318211</v>
      </c>
    </row>
    <row r="391" spans="1:18" ht="25.9" customHeight="1" x14ac:dyDescent="0.2">
      <c r="A391" s="41" t="s">
        <v>353</v>
      </c>
      <c r="B391" s="4" t="s">
        <v>190</v>
      </c>
      <c r="C391" s="4" t="s">
        <v>118</v>
      </c>
      <c r="D391" s="14" t="s">
        <v>603</v>
      </c>
      <c r="E391" s="11">
        <f>F391+I391</f>
        <v>9555400</v>
      </c>
      <c r="F391" s="12">
        <f>9555400</f>
        <v>9555400</v>
      </c>
      <c r="G391" s="12">
        <v>7380000</v>
      </c>
      <c r="H391" s="12">
        <f>102000</f>
        <v>102000</v>
      </c>
      <c r="I391" s="12"/>
      <c r="J391" s="11">
        <f>L391+O391</f>
        <v>4646190</v>
      </c>
      <c r="K391" s="12">
        <f>6676190-1400000-630000</f>
        <v>4646190</v>
      </c>
      <c r="L391" s="12"/>
      <c r="M391" s="12"/>
      <c r="N391" s="12"/>
      <c r="O391" s="12">
        <f>K391</f>
        <v>4646190</v>
      </c>
      <c r="P391" s="13">
        <f>E391+J391</f>
        <v>14201590</v>
      </c>
    </row>
    <row r="392" spans="1:18" x14ac:dyDescent="0.2">
      <c r="A392" s="41" t="s">
        <v>504</v>
      </c>
      <c r="B392" s="4" t="s">
        <v>30</v>
      </c>
      <c r="C392" s="4" t="s">
        <v>505</v>
      </c>
      <c r="D392" s="47" t="s">
        <v>506</v>
      </c>
      <c r="E392" s="11">
        <f>F392+I392</f>
        <v>14745000</v>
      </c>
      <c r="F392" s="12">
        <v>14745000</v>
      </c>
      <c r="G392" s="12"/>
      <c r="H392" s="12"/>
      <c r="I392" s="12"/>
      <c r="J392" s="11"/>
      <c r="K392" s="12"/>
      <c r="L392" s="12"/>
      <c r="M392" s="12"/>
      <c r="N392" s="12"/>
      <c r="O392" s="12"/>
      <c r="P392" s="13">
        <f>E392+J392</f>
        <v>14745000</v>
      </c>
    </row>
    <row r="393" spans="1:18" x14ac:dyDescent="0.2">
      <c r="A393" s="41" t="s">
        <v>638</v>
      </c>
      <c r="B393" s="8" t="s">
        <v>639</v>
      </c>
      <c r="C393" s="4" t="s">
        <v>131</v>
      </c>
      <c r="D393" s="14" t="s">
        <v>640</v>
      </c>
      <c r="E393" s="13">
        <f>3870000-145000-280000</f>
        <v>3445000</v>
      </c>
      <c r="F393" s="12"/>
      <c r="G393" s="12"/>
      <c r="H393" s="12"/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3445000</v>
      </c>
    </row>
    <row r="394" spans="1:18" x14ac:dyDescent="0.2">
      <c r="A394" s="41" t="s">
        <v>489</v>
      </c>
      <c r="B394" s="8" t="s">
        <v>490</v>
      </c>
      <c r="C394" s="4" t="s">
        <v>479</v>
      </c>
      <c r="D394" s="14" t="s">
        <v>491</v>
      </c>
      <c r="E394" s="25">
        <v>0</v>
      </c>
      <c r="F394" s="12"/>
      <c r="G394" s="12"/>
      <c r="H394" s="12"/>
      <c r="I394" s="12"/>
      <c r="J394" s="11">
        <f>L394+O394</f>
        <v>1266000</v>
      </c>
      <c r="K394" s="12">
        <v>1266000</v>
      </c>
      <c r="L394" s="12"/>
      <c r="M394" s="12"/>
      <c r="N394" s="12"/>
      <c r="O394" s="12">
        <f>K394</f>
        <v>1266000</v>
      </c>
      <c r="P394" s="13">
        <f>E394+J394</f>
        <v>1266000</v>
      </c>
    </row>
    <row r="395" spans="1:18" ht="25.5" x14ac:dyDescent="0.2">
      <c r="A395" s="41" t="s">
        <v>480</v>
      </c>
      <c r="B395" s="8" t="s">
        <v>477</v>
      </c>
      <c r="C395" s="4" t="s">
        <v>479</v>
      </c>
      <c r="D395" s="14" t="s">
        <v>478</v>
      </c>
      <c r="E395" s="25">
        <f>F395+I395</f>
        <v>50000</v>
      </c>
      <c r="F395" s="12">
        <v>50000</v>
      </c>
      <c r="G395" s="12"/>
      <c r="H395" s="12"/>
      <c r="I395" s="12"/>
      <c r="J395" s="11">
        <f>L395+O395</f>
        <v>1610621</v>
      </c>
      <c r="K395" s="12">
        <v>1610621</v>
      </c>
      <c r="L395" s="12"/>
      <c r="M395" s="12"/>
      <c r="N395" s="12"/>
      <c r="O395" s="12">
        <f>K395</f>
        <v>1610621</v>
      </c>
      <c r="P395" s="13">
        <f>E395+J395</f>
        <v>1660621</v>
      </c>
    </row>
    <row r="396" spans="1:18" ht="15.75" customHeight="1" x14ac:dyDescent="0.2">
      <c r="A396" s="41"/>
      <c r="B396" s="8"/>
      <c r="C396" s="91"/>
      <c r="D396" s="31" t="s">
        <v>75</v>
      </c>
      <c r="E396" s="25">
        <f t="shared" ref="E396:P396" si="78">E14+E42+E93+E151+E238+E244+E258+E275+E305+E372+E389+E386</f>
        <v>968348388</v>
      </c>
      <c r="F396" s="25">
        <f t="shared" si="78"/>
        <v>964903388</v>
      </c>
      <c r="G396" s="25">
        <f t="shared" si="78"/>
        <v>526877786</v>
      </c>
      <c r="H396" s="25">
        <f t="shared" si="78"/>
        <v>61929526</v>
      </c>
      <c r="I396" s="25">
        <f t="shared" si="78"/>
        <v>0</v>
      </c>
      <c r="J396" s="25">
        <f t="shared" si="78"/>
        <v>299728945</v>
      </c>
      <c r="K396" s="25">
        <f t="shared" si="78"/>
        <v>238839110</v>
      </c>
      <c r="L396" s="25">
        <f t="shared" si="78"/>
        <v>28403258</v>
      </c>
      <c r="M396" s="25">
        <f t="shared" si="78"/>
        <v>3004583</v>
      </c>
      <c r="N396" s="25">
        <f t="shared" si="78"/>
        <v>643250</v>
      </c>
      <c r="O396" s="25">
        <f t="shared" si="78"/>
        <v>271325687</v>
      </c>
      <c r="P396" s="25">
        <f t="shared" si="78"/>
        <v>1268077333</v>
      </c>
      <c r="R396" s="34"/>
    </row>
    <row r="397" spans="1:18" x14ac:dyDescent="0.2">
      <c r="P397" s="34"/>
    </row>
    <row r="398" spans="1:18" ht="19.5" customHeight="1" x14ac:dyDescent="0.2">
      <c r="D398" s="92" t="s">
        <v>591</v>
      </c>
      <c r="E398" s="92"/>
      <c r="F398" s="92"/>
      <c r="G398" s="92"/>
      <c r="H398" s="92"/>
      <c r="I398" s="92"/>
      <c r="J398" s="92"/>
      <c r="K398" s="92"/>
      <c r="O398" s="92" t="s">
        <v>592</v>
      </c>
    </row>
    <row r="399" spans="1:18" ht="25.5" customHeight="1" x14ac:dyDescent="0.25">
      <c r="D399" s="117" t="s">
        <v>598</v>
      </c>
      <c r="E399" s="118"/>
      <c r="O399" s="2" t="s">
        <v>599</v>
      </c>
    </row>
    <row r="400" spans="1:18" ht="13.9" customHeight="1" x14ac:dyDescent="0.2"/>
    <row r="401" spans="4:17" hidden="1" x14ac:dyDescent="0.2">
      <c r="E401" s="93">
        <v>1054570552</v>
      </c>
      <c r="F401" s="93"/>
      <c r="G401" s="93"/>
      <c r="H401" s="93"/>
      <c r="I401" s="93"/>
      <c r="J401" s="93">
        <f>62363196+45232641</f>
        <v>107595837</v>
      </c>
      <c r="K401" s="93">
        <f>2500000+45232641</f>
        <v>47732641</v>
      </c>
      <c r="L401" s="93"/>
      <c r="M401" s="93"/>
      <c r="N401" s="93"/>
      <c r="O401" s="93"/>
      <c r="P401" s="93">
        <f>1116933748+45232641</f>
        <v>1162166389</v>
      </c>
      <c r="Q401" s="94" t="s">
        <v>594</v>
      </c>
    </row>
    <row r="402" spans="4:17" hidden="1" x14ac:dyDescent="0.2">
      <c r="E402" s="93">
        <f>E396-E401</f>
        <v>-86222164</v>
      </c>
      <c r="F402" s="93"/>
      <c r="G402" s="93"/>
      <c r="H402" s="93"/>
      <c r="I402" s="93"/>
      <c r="J402" s="93">
        <f>J401-J396</f>
        <v>-192133108</v>
      </c>
      <c r="K402" s="93">
        <f>K401-K396</f>
        <v>-191106469</v>
      </c>
      <c r="L402" s="93"/>
      <c r="M402" s="93"/>
      <c r="N402" s="93"/>
      <c r="O402" s="93"/>
      <c r="P402" s="93">
        <f>P401-P396</f>
        <v>-105910944</v>
      </c>
      <c r="Q402" s="94" t="s">
        <v>595</v>
      </c>
    </row>
    <row r="403" spans="4:17" hidden="1" x14ac:dyDescent="0.2">
      <c r="E403" s="93">
        <v>-86222164</v>
      </c>
      <c r="F403" s="93"/>
      <c r="G403" s="93"/>
      <c r="H403" s="93"/>
      <c r="I403" s="93"/>
      <c r="J403" s="93">
        <v>190755608</v>
      </c>
      <c r="K403" s="93">
        <v>189728969</v>
      </c>
      <c r="L403" s="93"/>
      <c r="M403" s="93"/>
      <c r="N403" s="93"/>
      <c r="O403" s="93"/>
      <c r="P403" s="93">
        <v>104533444</v>
      </c>
      <c r="Q403" s="94" t="s">
        <v>596</v>
      </c>
    </row>
    <row r="404" spans="4:17" hidden="1" x14ac:dyDescent="0.2">
      <c r="E404" s="93">
        <f>E402-E403</f>
        <v>0</v>
      </c>
      <c r="F404" s="93"/>
      <c r="G404" s="93"/>
      <c r="H404" s="93"/>
      <c r="I404" s="93"/>
      <c r="J404" s="93">
        <f>J402+J403</f>
        <v>-1377500</v>
      </c>
      <c r="K404" s="93">
        <f>K402+K403</f>
        <v>-1377500</v>
      </c>
      <c r="L404" s="93"/>
      <c r="M404" s="93"/>
      <c r="N404" s="93"/>
      <c r="O404" s="93"/>
      <c r="P404" s="93">
        <f>P402+P403</f>
        <v>-1377500</v>
      </c>
    </row>
    <row r="405" spans="4:17" hidden="1" x14ac:dyDescent="0.2">
      <c r="E405" s="93">
        <v>0</v>
      </c>
      <c r="F405" s="93"/>
      <c r="G405" s="93"/>
      <c r="H405" s="93"/>
      <c r="I405" s="93"/>
      <c r="J405" s="93">
        <v>-1377500</v>
      </c>
      <c r="K405" s="93">
        <v>-1377500</v>
      </c>
      <c r="L405" s="93"/>
      <c r="M405" s="93"/>
      <c r="N405" s="93"/>
      <c r="O405" s="93"/>
      <c r="P405" s="93">
        <v>-1377500</v>
      </c>
      <c r="Q405" s="2" t="s">
        <v>597</v>
      </c>
    </row>
    <row r="406" spans="4:17" hidden="1" x14ac:dyDescent="0.2">
      <c r="E406" s="93">
        <f>E404+E405</f>
        <v>0</v>
      </c>
      <c r="F406" s="93"/>
      <c r="G406" s="93"/>
      <c r="H406" s="93"/>
      <c r="I406" s="93"/>
      <c r="J406" s="93">
        <f>J404-J405</f>
        <v>0</v>
      </c>
      <c r="K406" s="93">
        <f>K404-K405</f>
        <v>0</v>
      </c>
      <c r="L406" s="93"/>
      <c r="M406" s="93"/>
      <c r="N406" s="93"/>
      <c r="O406" s="93"/>
      <c r="P406" s="93">
        <f>P404-P405</f>
        <v>0</v>
      </c>
    </row>
    <row r="407" spans="4:17" hidden="1" x14ac:dyDescent="0.2"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</row>
    <row r="408" spans="4:17" hidden="1" x14ac:dyDescent="0.2"/>
    <row r="409" spans="4:17" hidden="1" x14ac:dyDescent="0.2">
      <c r="E409" s="2">
        <f>50000/E396*100</f>
        <v>5.1634309118093972E-3</v>
      </c>
    </row>
    <row r="410" spans="4:17" hidden="1" x14ac:dyDescent="0.2">
      <c r="E410" s="2">
        <f>E393/E396*100</f>
        <v>0.35576038982366748</v>
      </c>
    </row>
    <row r="411" spans="4:17" hidden="1" x14ac:dyDescent="0.2">
      <c r="D411" s="95"/>
    </row>
    <row r="412" spans="4:17" hidden="1" x14ac:dyDescent="0.2"/>
    <row r="413" spans="4:17" hidden="1" x14ac:dyDescent="0.2"/>
  </sheetData>
  <mergeCells count="25">
    <mergeCell ref="D399:E399"/>
    <mergeCell ref="L10:L12"/>
    <mergeCell ref="G11:G12"/>
    <mergeCell ref="H11:H12"/>
    <mergeCell ref="I10:I12"/>
    <mergeCell ref="E10:E12"/>
    <mergeCell ref="F10:F12"/>
    <mergeCell ref="J10:J12"/>
    <mergeCell ref="K10:K12"/>
    <mergeCell ref="N2:P2"/>
    <mergeCell ref="N4:P4"/>
    <mergeCell ref="C5:P5"/>
    <mergeCell ref="C6:P6"/>
    <mergeCell ref="P9:P12"/>
    <mergeCell ref="J9:O9"/>
    <mergeCell ref="E9:I9"/>
    <mergeCell ref="G10:H10"/>
    <mergeCell ref="O10:O12"/>
    <mergeCell ref="M11:M12"/>
    <mergeCell ref="A9:A12"/>
    <mergeCell ref="B9:B12"/>
    <mergeCell ref="C9:C12"/>
    <mergeCell ref="D9:D12"/>
    <mergeCell ref="M10:N10"/>
    <mergeCell ref="N11:N12"/>
  </mergeCells>
  <phoneticPr fontId="13" type="noConversion"/>
  <hyperlinks>
    <hyperlink ref="C368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2021-05-19T06:02:52Z</cp:lastPrinted>
  <dcterms:created xsi:type="dcterms:W3CDTF">2016-02-15T14:53:30Z</dcterms:created>
  <dcterms:modified xsi:type="dcterms:W3CDTF">2021-08-17T06:39:02Z</dcterms:modified>
</cp:coreProperties>
</file>