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(2)'!$A$1:$P$412</definedName>
  </definedNames>
  <calcPr calcId="162913" fullCalcOnLoad="1"/>
</workbook>
</file>

<file path=xl/calcChain.xml><?xml version="1.0" encoding="utf-8"?>
<calcChain xmlns="http://schemas.openxmlformats.org/spreadsheetml/2006/main">
  <c r="H404" i="8" l="1"/>
  <c r="F404" i="8"/>
  <c r="E404" i="8"/>
  <c r="H17" i="8"/>
  <c r="F17" i="8"/>
  <c r="H157" i="8"/>
  <c r="F157" i="8"/>
  <c r="E157" i="8"/>
  <c r="P157" i="8"/>
  <c r="E416" i="8"/>
  <c r="O156" i="8"/>
  <c r="K156" i="8"/>
  <c r="J156" i="8"/>
  <c r="F156" i="8"/>
  <c r="E156" i="8"/>
  <c r="O219" i="8"/>
  <c r="P219" i="8"/>
  <c r="O220" i="8"/>
  <c r="O221" i="8"/>
  <c r="P221" i="8"/>
  <c r="O222" i="8"/>
  <c r="O223" i="8"/>
  <c r="O224" i="8"/>
  <c r="J219" i="8"/>
  <c r="J220" i="8"/>
  <c r="P220" i="8"/>
  <c r="J221" i="8"/>
  <c r="J222" i="8"/>
  <c r="P222" i="8"/>
  <c r="J223" i="8"/>
  <c r="P223" i="8"/>
  <c r="J224" i="8"/>
  <c r="P224" i="8"/>
  <c r="E219" i="8"/>
  <c r="E220" i="8"/>
  <c r="E221" i="8"/>
  <c r="E222" i="8"/>
  <c r="E223" i="8"/>
  <c r="K240" i="8"/>
  <c r="F240" i="8"/>
  <c r="K23" i="8"/>
  <c r="P414" i="8"/>
  <c r="G281" i="8"/>
  <c r="G280" i="8"/>
  <c r="F281" i="8"/>
  <c r="E281" i="8"/>
  <c r="G266" i="8"/>
  <c r="G265" i="8"/>
  <c r="F280" i="8"/>
  <c r="G275" i="8"/>
  <c r="F275" i="8"/>
  <c r="F267" i="8"/>
  <c r="G75" i="8"/>
  <c r="F75" i="8"/>
  <c r="G53" i="8"/>
  <c r="G51" i="8"/>
  <c r="G42" i="8"/>
  <c r="F53" i="8"/>
  <c r="E414" i="8"/>
  <c r="K414" i="8"/>
  <c r="J414" i="8"/>
  <c r="J321" i="8"/>
  <c r="O321" i="8"/>
  <c r="K321" i="8"/>
  <c r="O329" i="8"/>
  <c r="J329" i="8"/>
  <c r="P329" i="8"/>
  <c r="O328" i="8"/>
  <c r="K367" i="8"/>
  <c r="O367" i="8"/>
  <c r="J367" i="8"/>
  <c r="K366" i="8"/>
  <c r="K316" i="8"/>
  <c r="K365" i="8"/>
  <c r="K346" i="8"/>
  <c r="H342" i="8"/>
  <c r="F342" i="8"/>
  <c r="E342" i="8"/>
  <c r="K342" i="8"/>
  <c r="K378" i="8"/>
  <c r="O378" i="8"/>
  <c r="J378" i="8"/>
  <c r="P378" i="8"/>
  <c r="F371" i="8"/>
  <c r="E371" i="8"/>
  <c r="K339" i="8"/>
  <c r="O339" i="8"/>
  <c r="J339" i="8"/>
  <c r="P339" i="8"/>
  <c r="O346" i="8"/>
  <c r="J346" i="8"/>
  <c r="K386" i="8"/>
  <c r="O386" i="8"/>
  <c r="G263" i="8"/>
  <c r="F263" i="8"/>
  <c r="E263" i="8"/>
  <c r="G255" i="8"/>
  <c r="F255" i="8"/>
  <c r="F253" i="8"/>
  <c r="F227" i="8"/>
  <c r="E227" i="8"/>
  <c r="F225" i="8"/>
  <c r="E225" i="8"/>
  <c r="F242" i="8"/>
  <c r="F124" i="8"/>
  <c r="F107" i="8"/>
  <c r="E107" i="8"/>
  <c r="F142" i="8"/>
  <c r="E142" i="8"/>
  <c r="K75" i="8"/>
  <c r="O75" i="8"/>
  <c r="K74" i="8"/>
  <c r="O74" i="8"/>
  <c r="J74" i="8"/>
  <c r="K57" i="8"/>
  <c r="K53" i="8"/>
  <c r="O53" i="8"/>
  <c r="F25" i="8"/>
  <c r="E25" i="8"/>
  <c r="K17" i="8"/>
  <c r="O17" i="8"/>
  <c r="E17" i="8"/>
  <c r="P17" i="8"/>
  <c r="L316" i="8"/>
  <c r="M316" i="8"/>
  <c r="N316" i="8"/>
  <c r="O347" i="8"/>
  <c r="J347" i="8"/>
  <c r="P347" i="8"/>
  <c r="K348" i="8"/>
  <c r="F84" i="8"/>
  <c r="E84" i="8"/>
  <c r="F57" i="8"/>
  <c r="F316" i="8"/>
  <c r="F32" i="8"/>
  <c r="E406" i="8"/>
  <c r="E240" i="8"/>
  <c r="K345" i="8"/>
  <c r="O345" i="8"/>
  <c r="F338" i="8"/>
  <c r="F344" i="8"/>
  <c r="O387" i="8"/>
  <c r="J387" i="8"/>
  <c r="P387" i="8"/>
  <c r="H53" i="8"/>
  <c r="H401" i="8"/>
  <c r="F401" i="8"/>
  <c r="H275" i="8"/>
  <c r="H266" i="8"/>
  <c r="H265" i="8"/>
  <c r="H255" i="8"/>
  <c r="H261" i="8"/>
  <c r="F261" i="8"/>
  <c r="H258" i="8"/>
  <c r="F258" i="8"/>
  <c r="H81" i="8"/>
  <c r="F81" i="8"/>
  <c r="H75" i="8"/>
  <c r="H57" i="8"/>
  <c r="H51" i="8"/>
  <c r="H42" i="8"/>
  <c r="E53" i="8"/>
  <c r="K404" i="8"/>
  <c r="O393" i="8"/>
  <c r="O394" i="8"/>
  <c r="O395" i="8"/>
  <c r="P394" i="8"/>
  <c r="P397" i="8"/>
  <c r="E343" i="8"/>
  <c r="K315" i="8"/>
  <c r="K379" i="8"/>
  <c r="F249" i="8"/>
  <c r="E88" i="8"/>
  <c r="P88" i="8"/>
  <c r="F86" i="8"/>
  <c r="G86" i="8"/>
  <c r="F74" i="8"/>
  <c r="O343" i="8"/>
  <c r="L315" i="8"/>
  <c r="M315" i="8"/>
  <c r="N315" i="8"/>
  <c r="K113" i="8"/>
  <c r="F113" i="8"/>
  <c r="K32" i="8"/>
  <c r="K16" i="8"/>
  <c r="G17" i="8"/>
  <c r="G16" i="8"/>
  <c r="G14" i="8"/>
  <c r="O348" i="8"/>
  <c r="J348" i="8"/>
  <c r="P348" i="8"/>
  <c r="O59" i="8"/>
  <c r="J59" i="8"/>
  <c r="P59" i="8"/>
  <c r="E59" i="8"/>
  <c r="K154" i="8"/>
  <c r="K409" i="8"/>
  <c r="K415" i="8"/>
  <c r="O237" i="8"/>
  <c r="J237" i="8"/>
  <c r="E237" i="8"/>
  <c r="O236" i="8"/>
  <c r="J236" i="8"/>
  <c r="E236" i="8"/>
  <c r="P236" i="8"/>
  <c r="E110" i="8"/>
  <c r="P110" i="8"/>
  <c r="F100" i="8"/>
  <c r="E124" i="8"/>
  <c r="K151" i="8"/>
  <c r="O151" i="8"/>
  <c r="J151" i="8"/>
  <c r="G386" i="8"/>
  <c r="G385" i="8"/>
  <c r="G383" i="8"/>
  <c r="E407" i="8"/>
  <c r="G401" i="8"/>
  <c r="F386" i="8"/>
  <c r="G267" i="8"/>
  <c r="G254" i="8"/>
  <c r="F254" i="8"/>
  <c r="G247" i="8"/>
  <c r="F247" i="8"/>
  <c r="G106" i="8"/>
  <c r="F106" i="8"/>
  <c r="K106" i="8"/>
  <c r="K337" i="8"/>
  <c r="O337" i="8"/>
  <c r="J337" i="8"/>
  <c r="P337" i="8"/>
  <c r="H218" i="8"/>
  <c r="G218" i="8"/>
  <c r="G156" i="8"/>
  <c r="G154" i="8"/>
  <c r="F218" i="8"/>
  <c r="H215" i="8"/>
  <c r="G215" i="8"/>
  <c r="F215" i="8"/>
  <c r="E215" i="8"/>
  <c r="O342" i="8"/>
  <c r="J342" i="8"/>
  <c r="G94" i="8"/>
  <c r="F94" i="8"/>
  <c r="E94" i="8"/>
  <c r="F408" i="8"/>
  <c r="O404" i="8"/>
  <c r="J404" i="8"/>
  <c r="K408" i="8"/>
  <c r="O408" i="8"/>
  <c r="J408" i="8"/>
  <c r="K261" i="8"/>
  <c r="F398" i="8"/>
  <c r="E398" i="8"/>
  <c r="E396" i="8"/>
  <c r="P396" i="8"/>
  <c r="O398" i="8"/>
  <c r="J345" i="8"/>
  <c r="K155" i="8"/>
  <c r="L155" i="8"/>
  <c r="M155" i="8"/>
  <c r="N155" i="8"/>
  <c r="J155" i="8"/>
  <c r="O241" i="8"/>
  <c r="O155" i="8"/>
  <c r="K371" i="8"/>
  <c r="O371" i="8"/>
  <c r="J371" i="8"/>
  <c r="K362" i="8"/>
  <c r="K319" i="8"/>
  <c r="L319" i="8"/>
  <c r="M319" i="8"/>
  <c r="N319" i="8"/>
  <c r="K354" i="8"/>
  <c r="O354" i="8"/>
  <c r="J354" i="8"/>
  <c r="P354" i="8"/>
  <c r="K91" i="8"/>
  <c r="K48" i="8"/>
  <c r="O90" i="8"/>
  <c r="J90" i="8"/>
  <c r="G91" i="8"/>
  <c r="G48" i="8"/>
  <c r="F91" i="8"/>
  <c r="E90" i="8"/>
  <c r="P90" i="8"/>
  <c r="F48" i="8"/>
  <c r="H48" i="8"/>
  <c r="I48" i="8"/>
  <c r="L48" i="8"/>
  <c r="M48" i="8"/>
  <c r="N48" i="8"/>
  <c r="F133" i="8"/>
  <c r="K330" i="8"/>
  <c r="M51" i="8"/>
  <c r="M42" i="8"/>
  <c r="N51" i="8"/>
  <c r="N42" i="8"/>
  <c r="E57" i="8"/>
  <c r="E86" i="8"/>
  <c r="P86" i="8"/>
  <c r="F52" i="8"/>
  <c r="H156" i="8"/>
  <c r="H154" i="8"/>
  <c r="H322" i="8"/>
  <c r="H321" i="8"/>
  <c r="H312" i="8"/>
  <c r="F322" i="8"/>
  <c r="O407" i="8"/>
  <c r="J407" i="8"/>
  <c r="E113" i="8"/>
  <c r="O261" i="8"/>
  <c r="J261" i="8"/>
  <c r="E261" i="8"/>
  <c r="P261" i="8"/>
  <c r="G400" i="8"/>
  <c r="H400" i="8"/>
  <c r="H399" i="8"/>
  <c r="E280" i="8"/>
  <c r="K327" i="8"/>
  <c r="O327" i="8"/>
  <c r="J327" i="8"/>
  <c r="P327" i="8"/>
  <c r="K332" i="8"/>
  <c r="O332" i="8"/>
  <c r="J332" i="8"/>
  <c r="K324" i="8"/>
  <c r="L321" i="8"/>
  <c r="L312" i="8"/>
  <c r="M321" i="8"/>
  <c r="M312" i="8"/>
  <c r="N321" i="8"/>
  <c r="N312" i="8"/>
  <c r="O365" i="8"/>
  <c r="J365" i="8"/>
  <c r="K275" i="8"/>
  <c r="E275" i="8"/>
  <c r="F382" i="8"/>
  <c r="E382" i="8"/>
  <c r="P382" i="8"/>
  <c r="F41" i="8"/>
  <c r="H403" i="8"/>
  <c r="H402" i="8"/>
  <c r="G57" i="8"/>
  <c r="E338" i="8"/>
  <c r="P338" i="8"/>
  <c r="O285" i="8"/>
  <c r="O284" i="8"/>
  <c r="O282" i="8"/>
  <c r="K322" i="8"/>
  <c r="O322" i="8"/>
  <c r="G322" i="8"/>
  <c r="G321" i="8"/>
  <c r="G312" i="8"/>
  <c r="G157" i="8"/>
  <c r="F273" i="8"/>
  <c r="E273" i="8"/>
  <c r="K107" i="8"/>
  <c r="K353" i="8"/>
  <c r="F400" i="8"/>
  <c r="F399" i="8"/>
  <c r="F27" i="8"/>
  <c r="O320" i="8"/>
  <c r="K320" i="8"/>
  <c r="O249" i="8"/>
  <c r="L31" i="8"/>
  <c r="O324" i="8"/>
  <c r="J324" i="8"/>
  <c r="F50" i="8"/>
  <c r="G50" i="8"/>
  <c r="H50" i="8"/>
  <c r="I50" i="8"/>
  <c r="K50" i="8"/>
  <c r="L50" i="8"/>
  <c r="M50" i="8"/>
  <c r="N50" i="8"/>
  <c r="O94" i="8"/>
  <c r="O95" i="8"/>
  <c r="O50" i="8"/>
  <c r="J94" i="8"/>
  <c r="P94" i="8"/>
  <c r="J95" i="8"/>
  <c r="J50" i="8"/>
  <c r="E95" i="8"/>
  <c r="P95" i="8"/>
  <c r="K281" i="8"/>
  <c r="O281" i="8"/>
  <c r="J281" i="8"/>
  <c r="O380" i="8"/>
  <c r="J382" i="8"/>
  <c r="J380" i="8"/>
  <c r="P380" i="8"/>
  <c r="J381" i="8"/>
  <c r="P381" i="8"/>
  <c r="O15" i="8"/>
  <c r="J38" i="8"/>
  <c r="P38" i="8"/>
  <c r="O37" i="8"/>
  <c r="F141" i="8"/>
  <c r="E141" i="8"/>
  <c r="I321" i="8"/>
  <c r="K284" i="8"/>
  <c r="G278" i="8"/>
  <c r="F278" i="8"/>
  <c r="G284" i="8"/>
  <c r="G282" i="8"/>
  <c r="E285" i="8"/>
  <c r="O330" i="8"/>
  <c r="J330" i="8"/>
  <c r="O296" i="8"/>
  <c r="J296" i="8"/>
  <c r="O119" i="8"/>
  <c r="J119" i="8"/>
  <c r="P119" i="8"/>
  <c r="O123" i="8"/>
  <c r="J123" i="8"/>
  <c r="O131" i="8"/>
  <c r="J131" i="8"/>
  <c r="P131" i="8"/>
  <c r="O140" i="8"/>
  <c r="J140" i="8"/>
  <c r="O147" i="8"/>
  <c r="J147" i="8"/>
  <c r="L39" i="8"/>
  <c r="J39" i="8"/>
  <c r="E119" i="8"/>
  <c r="E123" i="8"/>
  <c r="P123" i="8"/>
  <c r="E131" i="8"/>
  <c r="E140" i="8"/>
  <c r="P140" i="8"/>
  <c r="E146" i="8"/>
  <c r="P146" i="8"/>
  <c r="E149" i="8"/>
  <c r="P149" i="8"/>
  <c r="H278" i="8"/>
  <c r="K278" i="8"/>
  <c r="O278" i="8"/>
  <c r="J278" i="8"/>
  <c r="E278" i="8"/>
  <c r="E248" i="8"/>
  <c r="O379" i="8"/>
  <c r="J379" i="8"/>
  <c r="K254" i="8"/>
  <c r="O254" i="8"/>
  <c r="J254" i="8"/>
  <c r="P254" i="8"/>
  <c r="K364" i="8"/>
  <c r="O364" i="8"/>
  <c r="J364" i="8"/>
  <c r="E296" i="8"/>
  <c r="P296" i="8"/>
  <c r="K263" i="8"/>
  <c r="O263" i="8"/>
  <c r="J263" i="8"/>
  <c r="E267" i="8"/>
  <c r="O71" i="8"/>
  <c r="J71" i="8"/>
  <c r="O72" i="8"/>
  <c r="J72" i="8"/>
  <c r="J73" i="8"/>
  <c r="E74" i="8"/>
  <c r="L37" i="8"/>
  <c r="K323" i="8"/>
  <c r="O323" i="8"/>
  <c r="J323" i="8"/>
  <c r="G253" i="8"/>
  <c r="G251" i="8"/>
  <c r="H16" i="8"/>
  <c r="H14" i="8"/>
  <c r="G399" i="8"/>
  <c r="I400" i="8"/>
  <c r="I399" i="8"/>
  <c r="K400" i="8"/>
  <c r="K399" i="8"/>
  <c r="L400" i="8"/>
  <c r="L399" i="8"/>
  <c r="M400" i="8"/>
  <c r="M399" i="8"/>
  <c r="N400" i="8"/>
  <c r="N399" i="8"/>
  <c r="O401" i="8"/>
  <c r="E401" i="8"/>
  <c r="E400" i="8"/>
  <c r="E399" i="8"/>
  <c r="E82" i="8"/>
  <c r="E83" i="8"/>
  <c r="O83" i="8"/>
  <c r="J83" i="8"/>
  <c r="P83" i="8"/>
  <c r="E85" i="8"/>
  <c r="O85" i="8"/>
  <c r="J85" i="8"/>
  <c r="E61" i="8"/>
  <c r="P61" i="8"/>
  <c r="E62" i="8"/>
  <c r="E63" i="8"/>
  <c r="E64" i="8"/>
  <c r="E65" i="8"/>
  <c r="E66" i="8"/>
  <c r="E69" i="8"/>
  <c r="P69" i="8"/>
  <c r="E70" i="8"/>
  <c r="E71" i="8"/>
  <c r="E72" i="8"/>
  <c r="P72" i="8"/>
  <c r="E76" i="8"/>
  <c r="E77" i="8"/>
  <c r="E78" i="8"/>
  <c r="E79" i="8"/>
  <c r="E80" i="8"/>
  <c r="E87" i="8"/>
  <c r="E89" i="8"/>
  <c r="E91" i="8"/>
  <c r="E48" i="8"/>
  <c r="E92" i="8"/>
  <c r="E58" i="8"/>
  <c r="I51" i="8"/>
  <c r="K93" i="8"/>
  <c r="J93" i="8"/>
  <c r="G93" i="8"/>
  <c r="G49" i="8"/>
  <c r="F93" i="8"/>
  <c r="F49" i="8"/>
  <c r="J92" i="8"/>
  <c r="G47" i="8"/>
  <c r="F47" i="8"/>
  <c r="E47" i="8"/>
  <c r="P47" i="8"/>
  <c r="G60" i="8"/>
  <c r="F60" i="8"/>
  <c r="H45" i="8"/>
  <c r="F45" i="8"/>
  <c r="F73" i="8"/>
  <c r="E73" i="8"/>
  <c r="P73" i="8"/>
  <c r="G73" i="8"/>
  <c r="G69" i="8"/>
  <c r="O106" i="8"/>
  <c r="J106" i="8"/>
  <c r="O141" i="8"/>
  <c r="J141" i="8"/>
  <c r="P141" i="8"/>
  <c r="L75" i="8"/>
  <c r="F385" i="8"/>
  <c r="F383" i="8"/>
  <c r="H260" i="8"/>
  <c r="H253" i="8"/>
  <c r="H251" i="8"/>
  <c r="F260" i="8"/>
  <c r="E260" i="8"/>
  <c r="E258" i="8"/>
  <c r="E218" i="8"/>
  <c r="E81" i="8"/>
  <c r="H247" i="8"/>
  <c r="H246" i="8"/>
  <c r="H245" i="8"/>
  <c r="F246" i="8"/>
  <c r="F245" i="8"/>
  <c r="G105" i="8"/>
  <c r="G96" i="8"/>
  <c r="F68" i="8"/>
  <c r="E68" i="8"/>
  <c r="E32" i="8"/>
  <c r="L105" i="8"/>
  <c r="L96" i="8"/>
  <c r="M156" i="8"/>
  <c r="M154" i="8"/>
  <c r="N156" i="8"/>
  <c r="L156" i="8"/>
  <c r="L154" i="8"/>
  <c r="F34" i="8"/>
  <c r="E34" i="8"/>
  <c r="F271" i="8"/>
  <c r="F270" i="8"/>
  <c r="E270" i="8"/>
  <c r="P270" i="8"/>
  <c r="O340" i="8"/>
  <c r="J375" i="8"/>
  <c r="O258" i="8"/>
  <c r="J258" i="8"/>
  <c r="P258" i="8"/>
  <c r="E21" i="8"/>
  <c r="E23" i="8"/>
  <c r="E24" i="8"/>
  <c r="P24" i="8"/>
  <c r="J370" i="8"/>
  <c r="P370" i="8"/>
  <c r="J328" i="8"/>
  <c r="P328" i="8"/>
  <c r="O318" i="8"/>
  <c r="K318" i="8"/>
  <c r="K45" i="8"/>
  <c r="O45" i="8"/>
  <c r="J45" i="8"/>
  <c r="E145" i="8"/>
  <c r="P145" i="8"/>
  <c r="E147" i="8"/>
  <c r="P147" i="8"/>
  <c r="E148" i="8"/>
  <c r="E150" i="8"/>
  <c r="P150" i="8"/>
  <c r="F101" i="8"/>
  <c r="O353" i="8"/>
  <c r="J353" i="8"/>
  <c r="E134" i="8"/>
  <c r="P134" i="8"/>
  <c r="O276" i="8"/>
  <c r="J276" i="8"/>
  <c r="P276" i="8"/>
  <c r="O112" i="8"/>
  <c r="O102" i="8"/>
  <c r="K102" i="8"/>
  <c r="K44" i="8"/>
  <c r="O44" i="8"/>
  <c r="O302" i="8"/>
  <c r="J302" i="8"/>
  <c r="P302" i="8"/>
  <c r="E135" i="8"/>
  <c r="F102" i="8"/>
  <c r="O56" i="8"/>
  <c r="J56" i="8"/>
  <c r="P56" i="8"/>
  <c r="E56" i="8"/>
  <c r="O377" i="8"/>
  <c r="J377" i="8"/>
  <c r="P377" i="8"/>
  <c r="G246" i="8"/>
  <c r="G245" i="8"/>
  <c r="O406" i="8"/>
  <c r="J406" i="8"/>
  <c r="E405" i="8"/>
  <c r="P405" i="8"/>
  <c r="N403" i="8"/>
  <c r="N402" i="8"/>
  <c r="M403" i="8"/>
  <c r="M402" i="8"/>
  <c r="L403" i="8"/>
  <c r="L402" i="8"/>
  <c r="I403" i="8"/>
  <c r="I402" i="8"/>
  <c r="G403" i="8"/>
  <c r="G402" i="8"/>
  <c r="J398" i="8"/>
  <c r="N396" i="8"/>
  <c r="N385" i="8"/>
  <c r="N383" i="8"/>
  <c r="M396" i="8"/>
  <c r="M392" i="8"/>
  <c r="L396" i="8"/>
  <c r="K396" i="8"/>
  <c r="O396" i="8"/>
  <c r="K392" i="8"/>
  <c r="O392" i="8"/>
  <c r="I396" i="8"/>
  <c r="I385" i="8"/>
  <c r="I383" i="8"/>
  <c r="H396" i="8"/>
  <c r="H385" i="8"/>
  <c r="H383" i="8"/>
  <c r="J395" i="8"/>
  <c r="P395" i="8"/>
  <c r="J394" i="8"/>
  <c r="E393" i="8"/>
  <c r="N392" i="8"/>
  <c r="L392" i="8"/>
  <c r="I392" i="8"/>
  <c r="E392" i="8"/>
  <c r="H392" i="8"/>
  <c r="O391" i="8"/>
  <c r="J391" i="8"/>
  <c r="E391" i="8"/>
  <c r="P391" i="8"/>
  <c r="O390" i="8"/>
  <c r="J390" i="8"/>
  <c r="O389" i="8"/>
  <c r="E389" i="8"/>
  <c r="O388" i="8"/>
  <c r="J388" i="8"/>
  <c r="E388" i="8"/>
  <c r="P388" i="8"/>
  <c r="E386" i="8"/>
  <c r="E385" i="8"/>
  <c r="E383" i="8"/>
  <c r="K384" i="8"/>
  <c r="O384" i="8"/>
  <c r="J376" i="8"/>
  <c r="E376" i="8"/>
  <c r="P376" i="8"/>
  <c r="E375" i="8"/>
  <c r="J374" i="8"/>
  <c r="E374" i="8"/>
  <c r="P374" i="8"/>
  <c r="O373" i="8"/>
  <c r="J373" i="8"/>
  <c r="E373" i="8"/>
  <c r="P373" i="8"/>
  <c r="O372" i="8"/>
  <c r="J372" i="8"/>
  <c r="E372" i="8"/>
  <c r="P372" i="8"/>
  <c r="O369" i="8"/>
  <c r="J369" i="8"/>
  <c r="E369" i="8"/>
  <c r="P369" i="8"/>
  <c r="O368" i="8"/>
  <c r="J368" i="8"/>
  <c r="P368" i="8"/>
  <c r="E367" i="8"/>
  <c r="O366" i="8"/>
  <c r="E366" i="8"/>
  <c r="E365" i="8"/>
  <c r="P365" i="8"/>
  <c r="E364" i="8"/>
  <c r="O363" i="8"/>
  <c r="J363" i="8"/>
  <c r="P363" i="8"/>
  <c r="E363" i="8"/>
  <c r="E362" i="8"/>
  <c r="O361" i="8"/>
  <c r="O319" i="8"/>
  <c r="O360" i="8"/>
  <c r="J360" i="8"/>
  <c r="E360" i="8"/>
  <c r="E359" i="8"/>
  <c r="O358" i="8"/>
  <c r="J358" i="8"/>
  <c r="E358" i="8"/>
  <c r="N357" i="8"/>
  <c r="M357" i="8"/>
  <c r="M333" i="8"/>
  <c r="M355" i="8"/>
  <c r="M349" i="8"/>
  <c r="L357" i="8"/>
  <c r="I357" i="8"/>
  <c r="H357" i="8"/>
  <c r="G357" i="8"/>
  <c r="F357" i="8"/>
  <c r="O356" i="8"/>
  <c r="E356" i="8"/>
  <c r="E355" i="8"/>
  <c r="N355" i="8"/>
  <c r="L355" i="8"/>
  <c r="J355" i="8"/>
  <c r="P355" i="8"/>
  <c r="I355" i="8"/>
  <c r="H355" i="8"/>
  <c r="G355" i="8"/>
  <c r="F355" i="8"/>
  <c r="E354" i="8"/>
  <c r="E353" i="8"/>
  <c r="P353" i="8"/>
  <c r="O352" i="8"/>
  <c r="J352" i="8"/>
  <c r="E352" i="8"/>
  <c r="O351" i="8"/>
  <c r="J351" i="8"/>
  <c r="P351" i="8"/>
  <c r="O350" i="8"/>
  <c r="O314" i="8"/>
  <c r="O349" i="8"/>
  <c r="N349" i="8"/>
  <c r="L349" i="8"/>
  <c r="J349" i="8"/>
  <c r="E349" i="8"/>
  <c r="P349" i="8"/>
  <c r="E346" i="8"/>
  <c r="O344" i="8"/>
  <c r="J344" i="8"/>
  <c r="O326" i="8"/>
  <c r="J326" i="8"/>
  <c r="L333" i="8"/>
  <c r="O333" i="8"/>
  <c r="J333" i="8"/>
  <c r="O335" i="8"/>
  <c r="J335" i="8"/>
  <c r="O336" i="8"/>
  <c r="J336" i="8"/>
  <c r="P336" i="8"/>
  <c r="E335" i="8"/>
  <c r="O334" i="8"/>
  <c r="J334" i="8"/>
  <c r="E334" i="8"/>
  <c r="N333" i="8"/>
  <c r="I333" i="8"/>
  <c r="H333" i="8"/>
  <c r="G333" i="8"/>
  <c r="F333" i="8"/>
  <c r="E332" i="8"/>
  <c r="O331" i="8"/>
  <c r="J331" i="8"/>
  <c r="P331" i="8"/>
  <c r="E330" i="8"/>
  <c r="P330" i="8"/>
  <c r="E327" i="8"/>
  <c r="E326" i="8"/>
  <c r="P326" i="8"/>
  <c r="O325" i="8"/>
  <c r="E324" i="8"/>
  <c r="E323" i="8"/>
  <c r="O240" i="8"/>
  <c r="J240" i="8"/>
  <c r="K243" i="8"/>
  <c r="O233" i="8"/>
  <c r="J233" i="8"/>
  <c r="K246" i="8"/>
  <c r="K245" i="8"/>
  <c r="K269" i="8"/>
  <c r="K272" i="8"/>
  <c r="O272" i="8"/>
  <c r="J272" i="8"/>
  <c r="E320" i="8"/>
  <c r="N317" i="8"/>
  <c r="M317" i="8"/>
  <c r="L317" i="8"/>
  <c r="K317" i="8"/>
  <c r="N314" i="8"/>
  <c r="M314" i="8"/>
  <c r="L314" i="8"/>
  <c r="K314" i="8"/>
  <c r="K313" i="8"/>
  <c r="O313" i="8"/>
  <c r="J313" i="8"/>
  <c r="P313" i="8"/>
  <c r="J311" i="8"/>
  <c r="E311" i="8"/>
  <c r="P311" i="8"/>
  <c r="J310" i="8"/>
  <c r="E310" i="8"/>
  <c r="E379" i="8"/>
  <c r="O309" i="8"/>
  <c r="J309" i="8"/>
  <c r="P309" i="8"/>
  <c r="O308" i="8"/>
  <c r="J308" i="8"/>
  <c r="P308" i="8"/>
  <c r="O307" i="8"/>
  <c r="J307" i="8"/>
  <c r="E307" i="8"/>
  <c r="E306" i="8"/>
  <c r="P306" i="8"/>
  <c r="O305" i="8"/>
  <c r="J305" i="8"/>
  <c r="E305" i="8"/>
  <c r="P305" i="8"/>
  <c r="O304" i="8"/>
  <c r="J304" i="8"/>
  <c r="O303" i="8"/>
  <c r="J303" i="8"/>
  <c r="O286" i="8"/>
  <c r="J286" i="8"/>
  <c r="O287" i="8"/>
  <c r="J287" i="8"/>
  <c r="O297" i="8"/>
  <c r="J297" i="8"/>
  <c r="O293" i="8"/>
  <c r="J293" i="8"/>
  <c r="O300" i="8"/>
  <c r="J300" i="8"/>
  <c r="O299" i="8"/>
  <c r="J299" i="8"/>
  <c r="O295" i="8"/>
  <c r="J295" i="8"/>
  <c r="O288" i="8"/>
  <c r="J288" i="8"/>
  <c r="N303" i="8"/>
  <c r="I303" i="8"/>
  <c r="E345" i="8"/>
  <c r="O301" i="8"/>
  <c r="J301" i="8"/>
  <c r="E301" i="8"/>
  <c r="N300" i="8"/>
  <c r="I300" i="8"/>
  <c r="E300" i="8"/>
  <c r="P300" i="8"/>
  <c r="E299" i="8"/>
  <c r="E298" i="8"/>
  <c r="P298" i="8"/>
  <c r="E297" i="8"/>
  <c r="E295" i="8"/>
  <c r="O294" i="8"/>
  <c r="J294" i="8"/>
  <c r="E294" i="8"/>
  <c r="E293" i="8"/>
  <c r="E340" i="8"/>
  <c r="O292" i="8"/>
  <c r="J292" i="8"/>
  <c r="E292" i="8"/>
  <c r="P292" i="8"/>
  <c r="O291" i="8"/>
  <c r="J291" i="8"/>
  <c r="E291" i="8"/>
  <c r="P291" i="8"/>
  <c r="O290" i="8"/>
  <c r="J290" i="8"/>
  <c r="E290" i="8"/>
  <c r="P290" i="8"/>
  <c r="O289" i="8"/>
  <c r="J289" i="8"/>
  <c r="P289" i="8"/>
  <c r="E288" i="8"/>
  <c r="N287" i="8"/>
  <c r="N284" i="8"/>
  <c r="N282" i="8"/>
  <c r="M284" i="8"/>
  <c r="M282" i="8"/>
  <c r="L284" i="8"/>
  <c r="L282" i="8"/>
  <c r="I287" i="8"/>
  <c r="E287" i="8"/>
  <c r="E286" i="8"/>
  <c r="H284" i="8"/>
  <c r="H282" i="8"/>
  <c r="K283" i="8"/>
  <c r="J283" i="8"/>
  <c r="F283" i="8"/>
  <c r="E283" i="8"/>
  <c r="P283" i="8"/>
  <c r="O280" i="8"/>
  <c r="J280" i="8"/>
  <c r="J279" i="8"/>
  <c r="I279" i="8"/>
  <c r="O277" i="8"/>
  <c r="J277" i="8"/>
  <c r="I277" i="8"/>
  <c r="N274" i="8"/>
  <c r="M274" i="8"/>
  <c r="M269" i="8"/>
  <c r="M272" i="8"/>
  <c r="L274" i="8"/>
  <c r="I274" i="8"/>
  <c r="E274" i="8"/>
  <c r="O273" i="8"/>
  <c r="J273" i="8"/>
  <c r="N272" i="8"/>
  <c r="L272" i="8"/>
  <c r="I272" i="8"/>
  <c r="E272" i="8"/>
  <c r="O271" i="8"/>
  <c r="J271" i="8"/>
  <c r="E271" i="8"/>
  <c r="O270" i="8"/>
  <c r="J270" i="8"/>
  <c r="N269" i="8"/>
  <c r="N266" i="8"/>
  <c r="N265" i="8"/>
  <c r="L269" i="8"/>
  <c r="I269" i="8"/>
  <c r="E269" i="8"/>
  <c r="O257" i="8"/>
  <c r="J257" i="8"/>
  <c r="E257" i="8"/>
  <c r="P257" i="8"/>
  <c r="O268" i="8"/>
  <c r="J268" i="8"/>
  <c r="E268" i="8"/>
  <c r="O267" i="8"/>
  <c r="J267" i="8"/>
  <c r="I266" i="8"/>
  <c r="I265" i="8"/>
  <c r="O264" i="8"/>
  <c r="J264" i="8"/>
  <c r="E264" i="8"/>
  <c r="O262" i="8"/>
  <c r="J262" i="8"/>
  <c r="I262" i="8"/>
  <c r="I253" i="8"/>
  <c r="I251" i="8"/>
  <c r="O260" i="8"/>
  <c r="J260" i="8"/>
  <c r="O256" i="8"/>
  <c r="O252" i="8"/>
  <c r="O255" i="8"/>
  <c r="J255" i="8"/>
  <c r="N253" i="8"/>
  <c r="N251" i="8"/>
  <c r="M253" i="8"/>
  <c r="M251" i="8"/>
  <c r="L253" i="8"/>
  <c r="L251" i="8"/>
  <c r="N252" i="8"/>
  <c r="M252" i="8"/>
  <c r="L252" i="8"/>
  <c r="K252" i="8"/>
  <c r="E250" i="8"/>
  <c r="P250" i="8"/>
  <c r="N249" i="8"/>
  <c r="N246" i="8"/>
  <c r="N245" i="8"/>
  <c r="N131" i="8"/>
  <c r="N146" i="8"/>
  <c r="M249" i="8"/>
  <c r="M246" i="8"/>
  <c r="M245" i="8"/>
  <c r="M105" i="8"/>
  <c r="M96" i="8"/>
  <c r="L249" i="8"/>
  <c r="J249" i="8"/>
  <c r="P249" i="8"/>
  <c r="I249" i="8"/>
  <c r="I246" i="8"/>
  <c r="I245" i="8"/>
  <c r="I105" i="8"/>
  <c r="I96" i="8"/>
  <c r="O248" i="8"/>
  <c r="O247" i="8"/>
  <c r="J247" i="8"/>
  <c r="J246" i="8"/>
  <c r="J245" i="8"/>
  <c r="J244" i="8"/>
  <c r="J243" i="8"/>
  <c r="E244" i="8"/>
  <c r="E243" i="8"/>
  <c r="P243" i="8"/>
  <c r="O243" i="8"/>
  <c r="N243" i="8"/>
  <c r="M243" i="8"/>
  <c r="L243" i="8"/>
  <c r="I243" i="8"/>
  <c r="E241" i="8"/>
  <c r="P241" i="8"/>
  <c r="O242" i="8"/>
  <c r="J242" i="8"/>
  <c r="E239" i="8"/>
  <c r="P239" i="8"/>
  <c r="E238" i="8"/>
  <c r="P238" i="8"/>
  <c r="O235" i="8"/>
  <c r="J235" i="8"/>
  <c r="P235" i="8"/>
  <c r="E235" i="8"/>
  <c r="E234" i="8"/>
  <c r="E233" i="8"/>
  <c r="J232" i="8"/>
  <c r="P232" i="8"/>
  <c r="E232" i="8"/>
  <c r="J231" i="8"/>
  <c r="E231" i="8"/>
  <c r="P231" i="8"/>
  <c r="O230" i="8"/>
  <c r="O229" i="8"/>
  <c r="E230" i="8"/>
  <c r="E229" i="8"/>
  <c r="I229" i="8"/>
  <c r="J228" i="8"/>
  <c r="E228" i="8"/>
  <c r="P228" i="8"/>
  <c r="O227" i="8"/>
  <c r="J227" i="8"/>
  <c r="P227" i="8"/>
  <c r="I227" i="8"/>
  <c r="P226" i="8"/>
  <c r="J225" i="8"/>
  <c r="P225" i="8"/>
  <c r="I220" i="8"/>
  <c r="O218" i="8"/>
  <c r="E217" i="8"/>
  <c r="O216" i="8"/>
  <c r="J216" i="8"/>
  <c r="P216" i="8"/>
  <c r="E216" i="8"/>
  <c r="O215" i="8"/>
  <c r="J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P199" i="8"/>
  <c r="J198" i="8"/>
  <c r="J197" i="8"/>
  <c r="E197" i="8"/>
  <c r="J196" i="8"/>
  <c r="P196" i="8"/>
  <c r="J195" i="8"/>
  <c r="E195" i="8"/>
  <c r="P195" i="8"/>
  <c r="J194" i="8"/>
  <c r="E194" i="8"/>
  <c r="P194" i="8"/>
  <c r="J193" i="8"/>
  <c r="E193" i="8"/>
  <c r="J192" i="8"/>
  <c r="E192" i="8"/>
  <c r="J191" i="8"/>
  <c r="E191" i="8"/>
  <c r="J190" i="8"/>
  <c r="E190" i="8"/>
  <c r="P190" i="8"/>
  <c r="J189" i="8"/>
  <c r="E189" i="8"/>
  <c r="J188" i="8"/>
  <c r="E188" i="8"/>
  <c r="P188" i="8"/>
  <c r="J187" i="8"/>
  <c r="E187" i="8"/>
  <c r="P187" i="8"/>
  <c r="J186" i="8"/>
  <c r="E186" i="8"/>
  <c r="P186" i="8"/>
  <c r="J185" i="8"/>
  <c r="E185" i="8"/>
  <c r="P185" i="8"/>
  <c r="J184" i="8"/>
  <c r="E184" i="8"/>
  <c r="J183" i="8"/>
  <c r="E183" i="8"/>
  <c r="J182" i="8"/>
  <c r="P182" i="8"/>
  <c r="E182" i="8"/>
  <c r="J181" i="8"/>
  <c r="P181" i="8"/>
  <c r="E181" i="8"/>
  <c r="J180" i="8"/>
  <c r="E180" i="8"/>
  <c r="O179" i="8"/>
  <c r="J179" i="8"/>
  <c r="I179" i="8"/>
  <c r="E179" i="8"/>
  <c r="P179" i="8"/>
  <c r="J178" i="8"/>
  <c r="P178" i="8"/>
  <c r="E178" i="8"/>
  <c r="J177" i="8"/>
  <c r="E177" i="8"/>
  <c r="P177" i="8"/>
  <c r="J176" i="8"/>
  <c r="E176" i="8"/>
  <c r="P176" i="8"/>
  <c r="J175" i="8"/>
  <c r="J174" i="8"/>
  <c r="E175" i="8"/>
  <c r="O174" i="8"/>
  <c r="I174" i="8"/>
  <c r="O173" i="8"/>
  <c r="J173" i="8"/>
  <c r="I173" i="8"/>
  <c r="E173" i="8"/>
  <c r="J172" i="8"/>
  <c r="P172" i="8"/>
  <c r="E172" i="8"/>
  <c r="J171" i="8"/>
  <c r="E171" i="8"/>
  <c r="J170" i="8"/>
  <c r="E170" i="8"/>
  <c r="P170" i="8"/>
  <c r="J169" i="8"/>
  <c r="E169" i="8"/>
  <c r="P169" i="8"/>
  <c r="J168" i="8"/>
  <c r="E168" i="8"/>
  <c r="J167" i="8"/>
  <c r="E167" i="8"/>
  <c r="P167" i="8"/>
  <c r="J166" i="8"/>
  <c r="E166" i="8"/>
  <c r="O165" i="8"/>
  <c r="J165" i="8"/>
  <c r="I165" i="8"/>
  <c r="E165" i="8"/>
  <c r="P165" i="8"/>
  <c r="J164" i="8"/>
  <c r="E164" i="8"/>
  <c r="J163" i="8"/>
  <c r="E163" i="8"/>
  <c r="P163" i="8"/>
  <c r="J162" i="8"/>
  <c r="E162" i="8"/>
  <c r="J161" i="8"/>
  <c r="P161" i="8"/>
  <c r="E161" i="8"/>
  <c r="J160" i="8"/>
  <c r="E160" i="8"/>
  <c r="P160" i="8"/>
  <c r="J159" i="8"/>
  <c r="J158" i="8"/>
  <c r="E159" i="8"/>
  <c r="O158" i="8"/>
  <c r="I158" i="8"/>
  <c r="E158" i="8"/>
  <c r="P158" i="8"/>
  <c r="O157" i="8"/>
  <c r="J157" i="8"/>
  <c r="F155" i="8"/>
  <c r="O153" i="8"/>
  <c r="J153" i="8"/>
  <c r="E153" i="8"/>
  <c r="O152" i="8"/>
  <c r="J152" i="8"/>
  <c r="P152" i="8"/>
  <c r="E152" i="8"/>
  <c r="E151" i="8"/>
  <c r="O148" i="8"/>
  <c r="J148" i="8"/>
  <c r="P148" i="8"/>
  <c r="E99" i="8"/>
  <c r="O144" i="8"/>
  <c r="J144" i="8"/>
  <c r="E144" i="8"/>
  <c r="P144" i="8"/>
  <c r="O143" i="8"/>
  <c r="E143" i="8"/>
  <c r="O142" i="8"/>
  <c r="J142" i="8"/>
  <c r="P142" i="8"/>
  <c r="P139" i="8"/>
  <c r="E138" i="8"/>
  <c r="P138" i="8"/>
  <c r="O137" i="8"/>
  <c r="J137" i="8"/>
  <c r="P137" i="8"/>
  <c r="E137" i="8"/>
  <c r="O133" i="8"/>
  <c r="J133" i="8"/>
  <c r="P133" i="8"/>
  <c r="O132" i="8"/>
  <c r="J132" i="8"/>
  <c r="E132" i="8"/>
  <c r="O130" i="8"/>
  <c r="J130" i="8"/>
  <c r="P130" i="8"/>
  <c r="E130" i="8"/>
  <c r="O129" i="8"/>
  <c r="J129" i="8"/>
  <c r="P129" i="8"/>
  <c r="E129" i="8"/>
  <c r="O128" i="8"/>
  <c r="J128" i="8"/>
  <c r="P128" i="8"/>
  <c r="E128" i="8"/>
  <c r="O127" i="8"/>
  <c r="J127" i="8"/>
  <c r="E127" i="8"/>
  <c r="P127" i="8"/>
  <c r="O126" i="8"/>
  <c r="J126" i="8"/>
  <c r="E126" i="8"/>
  <c r="O125" i="8"/>
  <c r="J125" i="8"/>
  <c r="P125" i="8"/>
  <c r="E125" i="8"/>
  <c r="O124" i="8"/>
  <c r="J124" i="8"/>
  <c r="N123" i="8"/>
  <c r="N105" i="8"/>
  <c r="N96" i="8"/>
  <c r="E122" i="8"/>
  <c r="P122" i="8"/>
  <c r="O121" i="8"/>
  <c r="J121" i="8"/>
  <c r="E121" i="8"/>
  <c r="P121" i="8"/>
  <c r="O120" i="8"/>
  <c r="J120" i="8"/>
  <c r="E120" i="8"/>
  <c r="P120" i="8"/>
  <c r="E118" i="8"/>
  <c r="P118" i="8"/>
  <c r="O117" i="8"/>
  <c r="J117" i="8"/>
  <c r="P117" i="8"/>
  <c r="O116" i="8"/>
  <c r="J116" i="8"/>
  <c r="P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O109" i="8"/>
  <c r="J109" i="8"/>
  <c r="P109" i="8"/>
  <c r="E109" i="8"/>
  <c r="O108" i="8"/>
  <c r="J108" i="8"/>
  <c r="E108" i="8"/>
  <c r="H105" i="8"/>
  <c r="H96" i="8"/>
  <c r="K104" i="8"/>
  <c r="O104" i="8"/>
  <c r="J104" i="8"/>
  <c r="P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O87" i="8"/>
  <c r="J87" i="8"/>
  <c r="P87" i="8"/>
  <c r="O84" i="8"/>
  <c r="J84" i="8"/>
  <c r="P84" i="8"/>
  <c r="O81" i="8"/>
  <c r="J81" i="8"/>
  <c r="P81" i="8"/>
  <c r="O80" i="8"/>
  <c r="J80" i="8"/>
  <c r="P80" i="8"/>
  <c r="O79" i="8"/>
  <c r="J79" i="8"/>
  <c r="O78" i="8"/>
  <c r="J78" i="8"/>
  <c r="P78" i="8"/>
  <c r="O77" i="8"/>
  <c r="J77" i="8"/>
  <c r="P77" i="8"/>
  <c r="O76" i="8"/>
  <c r="J76" i="8"/>
  <c r="P76" i="8"/>
  <c r="O70" i="8"/>
  <c r="J70" i="8"/>
  <c r="O68" i="8"/>
  <c r="J68" i="8"/>
  <c r="P68" i="8"/>
  <c r="O66" i="8"/>
  <c r="J66" i="8"/>
  <c r="P66" i="8"/>
  <c r="O65" i="8"/>
  <c r="J65" i="8"/>
  <c r="O64" i="8"/>
  <c r="J64" i="8"/>
  <c r="O63" i="8"/>
  <c r="J63" i="8"/>
  <c r="O62" i="8"/>
  <c r="J62" i="8"/>
  <c r="P62" i="8"/>
  <c r="O61" i="8"/>
  <c r="J61" i="8"/>
  <c r="O60" i="8"/>
  <c r="J60" i="8"/>
  <c r="P60" i="8"/>
  <c r="O58" i="8"/>
  <c r="J58" i="8"/>
  <c r="P58" i="8"/>
  <c r="P45" i="8"/>
  <c r="E45" i="8"/>
  <c r="O55" i="8"/>
  <c r="J55" i="8"/>
  <c r="E55" i="8"/>
  <c r="O54" i="8"/>
  <c r="J54" i="8"/>
  <c r="P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P44" i="8"/>
  <c r="G44" i="8"/>
  <c r="N43" i="8"/>
  <c r="M43" i="8"/>
  <c r="L43" i="8"/>
  <c r="J43" i="8"/>
  <c r="H43" i="8"/>
  <c r="O41" i="8"/>
  <c r="J41" i="8"/>
  <c r="P41" i="8"/>
  <c r="E40" i="8"/>
  <c r="E39" i="8"/>
  <c r="P39" i="8"/>
  <c r="O36" i="8"/>
  <c r="J36" i="8"/>
  <c r="P36" i="8"/>
  <c r="O35" i="8"/>
  <c r="J35" i="8"/>
  <c r="P35" i="8"/>
  <c r="E35" i="8"/>
  <c r="O34" i="8"/>
  <c r="J34" i="8"/>
  <c r="P34" i="8"/>
  <c r="O33" i="8"/>
  <c r="J33" i="8"/>
  <c r="P33" i="8"/>
  <c r="E33" i="8"/>
  <c r="O32" i="8"/>
  <c r="O30" i="8"/>
  <c r="J31" i="8"/>
  <c r="E31" i="8"/>
  <c r="E30" i="8"/>
  <c r="P30" i="8"/>
  <c r="O29" i="8"/>
  <c r="J29" i="8"/>
  <c r="P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O23" i="8"/>
  <c r="J23" i="8"/>
  <c r="E22" i="8"/>
  <c r="O21" i="8"/>
  <c r="J21" i="8"/>
  <c r="P21" i="8"/>
  <c r="I16" i="8"/>
  <c r="I14" i="8"/>
  <c r="E20" i="8"/>
  <c r="J19" i="8"/>
  <c r="E19" i="8"/>
  <c r="P19" i="8"/>
  <c r="J18" i="8"/>
  <c r="E18" i="8"/>
  <c r="P18" i="8"/>
  <c r="F15" i="8"/>
  <c r="E15" i="8"/>
  <c r="E196" i="8"/>
  <c r="E202" i="8"/>
  <c r="P202" i="8"/>
  <c r="E198" i="8"/>
  <c r="P198" i="8"/>
  <c r="J320" i="8"/>
  <c r="P320" i="8"/>
  <c r="M16" i="8"/>
  <c r="M14" i="8"/>
  <c r="O234" i="8"/>
  <c r="J234" i="8"/>
  <c r="P234" i="8"/>
  <c r="N16" i="8"/>
  <c r="N14" i="8"/>
  <c r="O22" i="8"/>
  <c r="N154" i="8"/>
  <c r="E247" i="8"/>
  <c r="P247" i="8"/>
  <c r="E303" i="8"/>
  <c r="P303" i="8"/>
  <c r="E60" i="8"/>
  <c r="E106" i="8"/>
  <c r="P106" i="8"/>
  <c r="P310" i="8"/>
  <c r="J393" i="8"/>
  <c r="P393" i="8"/>
  <c r="I312" i="8"/>
  <c r="K282" i="8"/>
  <c r="O362" i="8"/>
  <c r="J362" i="8"/>
  <c r="O357" i="8"/>
  <c r="O212" i="8"/>
  <c r="J212" i="8"/>
  <c r="P212" i="8"/>
  <c r="O283" i="8"/>
  <c r="J256" i="8"/>
  <c r="J252" i="8"/>
  <c r="P256" i="8"/>
  <c r="P252" i="8"/>
  <c r="J384" i="8"/>
  <c r="P384" i="8"/>
  <c r="P390" i="8"/>
  <c r="E93" i="8"/>
  <c r="K49" i="8"/>
  <c r="O49" i="8"/>
  <c r="L16" i="8"/>
  <c r="L14" i="8"/>
  <c r="J37" i="8"/>
  <c r="P37" i="8"/>
  <c r="K253" i="8"/>
  <c r="K251" i="8"/>
  <c r="O217" i="8"/>
  <c r="J217" i="8"/>
  <c r="P217" i="8"/>
  <c r="J218" i="8"/>
  <c r="P218" i="8"/>
  <c r="E249" i="8"/>
  <c r="L266" i="8"/>
  <c r="L265" i="8"/>
  <c r="P175" i="8"/>
  <c r="F284" i="8"/>
  <c r="F282" i="8"/>
  <c r="E304" i="8"/>
  <c r="O400" i="8"/>
  <c r="O399" i="8"/>
  <c r="J401" i="8"/>
  <c r="J400" i="8"/>
  <c r="J399" i="8"/>
  <c r="I156" i="8"/>
  <c r="I154" i="8"/>
  <c r="J350" i="8"/>
  <c r="J314" i="8"/>
  <c r="P314" i="8"/>
  <c r="E254" i="8"/>
  <c r="O275" i="8"/>
  <c r="J275" i="8"/>
  <c r="K274" i="8"/>
  <c r="O274" i="8"/>
  <c r="J230" i="8"/>
  <c r="J229" i="8"/>
  <c r="J396" i="8"/>
  <c r="P92" i="8"/>
  <c r="O317" i="8"/>
  <c r="O57" i="8"/>
  <c r="J57" i="8"/>
  <c r="P57" i="8"/>
  <c r="K105" i="8"/>
  <c r="K96" i="8"/>
  <c r="O107" i="8"/>
  <c r="E357" i="8"/>
  <c r="E133" i="8"/>
  <c r="E322" i="8"/>
  <c r="J322" i="8"/>
  <c r="J325" i="8"/>
  <c r="P325" i="8"/>
  <c r="E344" i="8"/>
  <c r="E333" i="8"/>
  <c r="P333" i="8"/>
  <c r="L51" i="8"/>
  <c r="L42" i="8"/>
  <c r="K403" i="8"/>
  <c r="K402" i="8"/>
  <c r="P398" i="8"/>
  <c r="P244" i="8"/>
  <c r="P401" i="8"/>
  <c r="P400" i="8"/>
  <c r="P399" i="8"/>
  <c r="J318" i="8"/>
  <c r="P318" i="8"/>
  <c r="M266" i="8"/>
  <c r="M265" i="8"/>
  <c r="P407" i="8"/>
  <c r="J389" i="8"/>
  <c r="J392" i="8"/>
  <c r="P392" i="8"/>
  <c r="F136" i="8"/>
  <c r="F105" i="8"/>
  <c r="F96" i="8"/>
  <c r="E408" i="8"/>
  <c r="P408" i="8"/>
  <c r="E41" i="8"/>
  <c r="F67" i="8"/>
  <c r="F43" i="8"/>
  <c r="E43" i="8"/>
  <c r="P43" i="8"/>
  <c r="E50" i="8"/>
  <c r="P50" i="8"/>
  <c r="E174" i="8"/>
  <c r="J356" i="8"/>
  <c r="P356" i="8"/>
  <c r="O355" i="8"/>
  <c r="G43" i="8"/>
  <c r="G67" i="8"/>
  <c r="E102" i="8"/>
  <c r="P135" i="8"/>
  <c r="P173" i="8"/>
  <c r="J248" i="8"/>
  <c r="P248" i="8"/>
  <c r="O246" i="8"/>
  <c r="O245" i="8"/>
  <c r="O99" i="8"/>
  <c r="J99" i="8"/>
  <c r="P99" i="8"/>
  <c r="J340" i="8"/>
  <c r="P340" i="8"/>
  <c r="O269" i="8"/>
  <c r="J269" i="8"/>
  <c r="K266" i="8"/>
  <c r="K265" i="8"/>
  <c r="J361" i="8"/>
  <c r="J319" i="8"/>
  <c r="P319" i="8"/>
  <c r="P215" i="8"/>
  <c r="E67" i="8"/>
  <c r="P67" i="8"/>
  <c r="E136" i="8"/>
  <c r="P136" i="8"/>
  <c r="F103" i="8"/>
  <c r="E103" i="8"/>
  <c r="P103" i="8"/>
  <c r="P389" i="8"/>
  <c r="P164" i="8"/>
  <c r="P237" i="8"/>
  <c r="P31" i="8"/>
  <c r="J143" i="8"/>
  <c r="O146" i="8"/>
  <c r="J32" i="8"/>
  <c r="P267" i="8"/>
  <c r="P280" i="8"/>
  <c r="E277" i="8"/>
  <c r="P277" i="8"/>
  <c r="E155" i="8"/>
  <c r="P155" i="8"/>
  <c r="E246" i="8"/>
  <c r="E245" i="8"/>
  <c r="P245" i="8"/>
  <c r="P229" i="8"/>
  <c r="P273" i="8"/>
  <c r="P230" i="8"/>
  <c r="E262" i="8"/>
  <c r="P262" i="8"/>
  <c r="J107" i="8"/>
  <c r="I284" i="8"/>
  <c r="I282" i="8"/>
  <c r="P233" i="8"/>
  <c r="P288" i="8"/>
  <c r="P294" i="8"/>
  <c r="P335" i="8"/>
  <c r="P260" i="8"/>
  <c r="J357" i="8"/>
  <c r="P358" i="8"/>
  <c r="P375" i="8"/>
  <c r="P350" i="8"/>
  <c r="J112" i="8"/>
  <c r="P112" i="8"/>
  <c r="J285" i="8"/>
  <c r="P285" i="8"/>
  <c r="P284" i="8"/>
  <c r="J284" i="8"/>
  <c r="J282" i="8"/>
  <c r="P159" i="8"/>
  <c r="P184" i="8"/>
  <c r="P324" i="8"/>
  <c r="E75" i="8"/>
  <c r="P75" i="8"/>
  <c r="J274" i="8"/>
  <c r="P274" i="8"/>
  <c r="E49" i="8"/>
  <c r="P49" i="8"/>
  <c r="P307" i="8"/>
  <c r="P345" i="8"/>
  <c r="E284" i="8"/>
  <c r="E282" i="8"/>
  <c r="P282" i="8"/>
  <c r="P297" i="8"/>
  <c r="P299" i="8"/>
  <c r="P79" i="8"/>
  <c r="J253" i="8"/>
  <c r="J251" i="8"/>
  <c r="P352" i="8"/>
  <c r="P342" i="8"/>
  <c r="P371" i="8"/>
  <c r="O385" i="8"/>
  <c r="O383" i="8"/>
  <c r="J386" i="8"/>
  <c r="J385" i="8"/>
  <c r="J383" i="8"/>
  <c r="F251" i="8"/>
  <c r="E255" i="8"/>
  <c r="E253" i="8"/>
  <c r="E242" i="8"/>
  <c r="P242" i="8"/>
  <c r="E105" i="8"/>
  <c r="E96" i="8"/>
  <c r="K51" i="8"/>
  <c r="K42" i="8"/>
  <c r="J53" i="8"/>
  <c r="P53" i="8"/>
  <c r="P25" i="8"/>
  <c r="J17" i="8"/>
  <c r="K14" i="8"/>
  <c r="F16" i="8"/>
  <c r="F14" i="8"/>
  <c r="P386" i="8"/>
  <c r="P385" i="8"/>
  <c r="P255" i="8"/>
  <c r="O316" i="8"/>
  <c r="P143" i="8"/>
  <c r="P367" i="8"/>
  <c r="P287" i="8"/>
  <c r="P32" i="8"/>
  <c r="P278" i="8"/>
  <c r="J146" i="8"/>
  <c r="P344" i="8"/>
  <c r="P322" i="8"/>
  <c r="P357" i="8"/>
  <c r="P304" i="8"/>
  <c r="P174" i="8"/>
  <c r="P362" i="8"/>
  <c r="P246" i="8"/>
  <c r="P55" i="8"/>
  <c r="P89" i="8"/>
  <c r="P166" i="8"/>
  <c r="P180" i="8"/>
  <c r="P191" i="8"/>
  <c r="P193" i="8"/>
  <c r="P264" i="8"/>
  <c r="P268" i="8"/>
  <c r="P269" i="8"/>
  <c r="P286" i="8"/>
  <c r="P293" i="8"/>
  <c r="P295" i="8"/>
  <c r="P64" i="8"/>
  <c r="P263" i="8"/>
  <c r="P364" i="8"/>
  <c r="P366" i="8"/>
  <c r="P316" i="8"/>
  <c r="J366" i="8"/>
  <c r="J316" i="8"/>
  <c r="P346" i="8"/>
  <c r="J312" i="8"/>
  <c r="J49" i="8"/>
  <c r="P93" i="8"/>
  <c r="E251" i="8"/>
  <c r="P251" i="8"/>
  <c r="P253" i="8"/>
  <c r="O266" i="8"/>
  <c r="O265" i="8"/>
  <c r="J266" i="8"/>
  <c r="J265" i="8"/>
  <c r="P275" i="8"/>
  <c r="O40" i="8"/>
  <c r="J40" i="8"/>
  <c r="P40" i="8"/>
  <c r="J30" i="8"/>
  <c r="P98" i="8"/>
  <c r="P383" i="8"/>
  <c r="J403" i="8"/>
  <c r="J402" i="8"/>
  <c r="P406" i="8"/>
  <c r="N409" i="8"/>
  <c r="I409" i="8"/>
  <c r="P151" i="8"/>
  <c r="P113" i="8"/>
  <c r="J343" i="8"/>
  <c r="J315" i="8"/>
  <c r="O315" i="8"/>
  <c r="E316" i="8"/>
  <c r="K385" i="8"/>
  <c r="K383" i="8"/>
  <c r="O312" i="8"/>
  <c r="K312" i="8"/>
  <c r="F321" i="8"/>
  <c r="F312" i="8"/>
  <c r="E321" i="8"/>
  <c r="O253" i="8"/>
  <c r="O251" i="8"/>
  <c r="P361" i="8"/>
  <c r="J91" i="8"/>
  <c r="P91" i="8"/>
  <c r="P48" i="8"/>
  <c r="O97" i="8"/>
  <c r="O100" i="8"/>
  <c r="O20" i="8"/>
  <c r="J20" i="8"/>
  <c r="P20" i="8"/>
  <c r="F266" i="8"/>
  <c r="F265" i="8"/>
  <c r="O403" i="8"/>
  <c r="O402" i="8"/>
  <c r="L246" i="8"/>
  <c r="L245" i="8"/>
  <c r="L409" i="8"/>
  <c r="O279" i="8"/>
  <c r="J15" i="8"/>
  <c r="J317" i="8"/>
  <c r="P317" i="8"/>
  <c r="O93" i="8"/>
  <c r="O359" i="8"/>
  <c r="J359" i="8"/>
  <c r="P359" i="8"/>
  <c r="P153" i="8"/>
  <c r="P192" i="8"/>
  <c r="P197" i="8"/>
  <c r="P271" i="8"/>
  <c r="P272" i="8"/>
  <c r="P379" i="8"/>
  <c r="P323" i="8"/>
  <c r="P332" i="8"/>
  <c r="P334" i="8"/>
  <c r="P360" i="8"/>
  <c r="M385" i="8"/>
  <c r="M383" i="8"/>
  <c r="M409" i="8"/>
  <c r="O154" i="8"/>
  <c r="L385" i="8"/>
  <c r="L383" i="8"/>
  <c r="J75" i="8"/>
  <c r="F51" i="8"/>
  <c r="F42" i="8"/>
  <c r="E52" i="8"/>
  <c r="P240" i="8"/>
  <c r="P107" i="8"/>
  <c r="P52" i="8"/>
  <c r="F154" i="8"/>
  <c r="E312" i="8"/>
  <c r="P312" i="8"/>
  <c r="P321" i="8"/>
  <c r="P343" i="8"/>
  <c r="P315" i="8"/>
  <c r="E266" i="8"/>
  <c r="E265" i="8"/>
  <c r="P281" i="8"/>
  <c r="E279" i="8"/>
  <c r="P279" i="8"/>
  <c r="P266" i="8"/>
  <c r="P265" i="8"/>
  <c r="G409" i="8"/>
  <c r="P404" i="8"/>
  <c r="P403" i="8"/>
  <c r="E403" i="8"/>
  <c r="E402" i="8"/>
  <c r="P402" i="8"/>
  <c r="F403" i="8"/>
  <c r="F402" i="8"/>
  <c r="E16" i="8"/>
  <c r="E14" i="8"/>
  <c r="H409" i="8"/>
  <c r="F409" i="8"/>
  <c r="K416" i="8"/>
  <c r="K417" i="8"/>
  <c r="K419" i="8"/>
  <c r="P65" i="8"/>
  <c r="P71" i="8"/>
  <c r="E51" i="8"/>
  <c r="E42" i="8"/>
  <c r="J48" i="8"/>
  <c r="E100" i="8"/>
  <c r="P100" i="8"/>
  <c r="O51" i="8"/>
  <c r="O42" i="8"/>
  <c r="O105" i="8"/>
  <c r="O96" i="8"/>
  <c r="P63" i="8"/>
  <c r="P114" i="8"/>
  <c r="P126" i="8"/>
  <c r="P132" i="8"/>
  <c r="P162" i="8"/>
  <c r="P168" i="8"/>
  <c r="P171" i="8"/>
  <c r="P183" i="8"/>
  <c r="P189" i="8"/>
  <c r="P85" i="8"/>
  <c r="P74" i="8"/>
  <c r="J97" i="8"/>
  <c r="P97" i="8"/>
  <c r="P108" i="8"/>
  <c r="J51" i="8"/>
  <c r="J42" i="8"/>
  <c r="P70" i="8"/>
  <c r="P51" i="8"/>
  <c r="P42" i="8"/>
  <c r="P124" i="8"/>
  <c r="P105" i="8"/>
  <c r="J105" i="8"/>
  <c r="J96" i="8"/>
  <c r="P96" i="8"/>
  <c r="J102" i="8"/>
  <c r="P102" i="8"/>
  <c r="J154" i="8"/>
  <c r="E154" i="8"/>
  <c r="P156" i="8"/>
  <c r="P154" i="8"/>
  <c r="P23" i="8"/>
  <c r="P16" i="8"/>
  <c r="P14" i="8"/>
  <c r="J16" i="8"/>
  <c r="J14" i="8"/>
  <c r="J22" i="8"/>
  <c r="P22" i="8"/>
  <c r="O16" i="8"/>
  <c r="O14" i="8"/>
  <c r="E409" i="8"/>
  <c r="J416" i="8"/>
  <c r="P416" i="8"/>
  <c r="P409" i="8"/>
  <c r="P415" i="8"/>
  <c r="P417" i="8"/>
  <c r="P419" i="8"/>
  <c r="O409" i="8"/>
  <c r="J409" i="8"/>
  <c r="J415" i="8"/>
  <c r="J417" i="8"/>
  <c r="J419" i="8"/>
  <c r="E423" i="8"/>
  <c r="E422" i="8"/>
  <c r="E415" i="8"/>
  <c r="E417" i="8"/>
  <c r="E419" i="8"/>
</calcChain>
</file>

<file path=xl/sharedStrings.xml><?xml version="1.0" encoding="utf-8"?>
<sst xmlns="http://schemas.openxmlformats.org/spreadsheetml/2006/main" count="1063" uniqueCount="697">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</sst>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0" fontId="33" fillId="0" borderId="1" xfId="0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30.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D26">
            <v>-160563405</v>
          </cell>
        </row>
        <row r="46">
          <cell r="C46">
            <v>115567157</v>
          </cell>
          <cell r="E46">
            <v>276130562</v>
          </cell>
          <cell r="F46">
            <v>275103923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4"/>
  <sheetViews>
    <sheetView tabSelected="1" topLeftCell="A9" zoomScaleNormal="100" zoomScaleSheetLayoutView="100" workbookViewId="0">
      <pane xSplit="4" ySplit="5" topLeftCell="E410" activePane="bottomRight" state="frozen"/>
      <selection activeCell="A9" sqref="A9"/>
      <selection pane="topRight" activeCell="E9" sqref="E9"/>
      <selection pane="bottomLeft" activeCell="A14" sqref="A14"/>
      <selection pane="bottomRight" activeCell="H405" sqref="H405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568</v>
      </c>
      <c r="P1" s="49"/>
    </row>
    <row r="2" spans="1:18" ht="24" customHeight="1" x14ac:dyDescent="0.2">
      <c r="C2" s="50"/>
      <c r="N2" s="119" t="s">
        <v>141</v>
      </c>
      <c r="O2" s="119"/>
      <c r="P2" s="119"/>
    </row>
    <row r="3" spans="1:18" x14ac:dyDescent="0.2">
      <c r="C3" s="51"/>
      <c r="N3" s="52" t="s">
        <v>569</v>
      </c>
      <c r="P3" s="53"/>
    </row>
    <row r="4" spans="1:18" ht="38.25" customHeight="1" x14ac:dyDescent="0.2">
      <c r="C4" s="51"/>
      <c r="N4" s="119"/>
      <c r="O4" s="119"/>
      <c r="P4" s="119"/>
    </row>
    <row r="5" spans="1:18" ht="17.25" x14ac:dyDescent="0.25">
      <c r="C5" s="120" t="s">
        <v>642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8" ht="17.25" x14ac:dyDescent="0.25">
      <c r="A6" s="54" t="s">
        <v>635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</row>
    <row r="7" spans="1:18" x14ac:dyDescent="0.2">
      <c r="A7" s="55" t="s">
        <v>615</v>
      </c>
    </row>
    <row r="8" spans="1:18" x14ac:dyDescent="0.2">
      <c r="C8" s="56"/>
      <c r="P8" s="57" t="s">
        <v>614</v>
      </c>
    </row>
    <row r="9" spans="1:18" ht="15" x14ac:dyDescent="0.25">
      <c r="A9" s="112" t="s">
        <v>571</v>
      </c>
      <c r="B9" s="113" t="s">
        <v>572</v>
      </c>
      <c r="C9" s="114" t="s">
        <v>573</v>
      </c>
      <c r="D9" s="115" t="s">
        <v>574</v>
      </c>
      <c r="E9" s="116" t="s">
        <v>154</v>
      </c>
      <c r="F9" s="116"/>
      <c r="G9" s="116"/>
      <c r="H9" s="116"/>
      <c r="I9" s="116"/>
      <c r="J9" s="116" t="s">
        <v>155</v>
      </c>
      <c r="K9" s="116"/>
      <c r="L9" s="116"/>
      <c r="M9" s="116"/>
      <c r="N9" s="116"/>
      <c r="O9" s="116"/>
      <c r="P9" s="116" t="s">
        <v>156</v>
      </c>
    </row>
    <row r="10" spans="1:18" ht="22.5" customHeight="1" x14ac:dyDescent="0.2">
      <c r="A10" s="112"/>
      <c r="B10" s="113"/>
      <c r="C10" s="114"/>
      <c r="D10" s="115"/>
      <c r="E10" s="118" t="s">
        <v>575</v>
      </c>
      <c r="F10" s="123" t="s">
        <v>157</v>
      </c>
      <c r="G10" s="118" t="s">
        <v>158</v>
      </c>
      <c r="H10" s="118"/>
      <c r="I10" s="118" t="s">
        <v>159</v>
      </c>
      <c r="J10" s="117" t="s">
        <v>576</v>
      </c>
      <c r="K10" s="117" t="s">
        <v>577</v>
      </c>
      <c r="L10" s="118" t="s">
        <v>157</v>
      </c>
      <c r="M10" s="118" t="s">
        <v>158</v>
      </c>
      <c r="N10" s="118"/>
      <c r="O10" s="118" t="s">
        <v>159</v>
      </c>
      <c r="P10" s="116"/>
    </row>
    <row r="11" spans="1:18" ht="21.75" customHeight="1" x14ac:dyDescent="0.2">
      <c r="A11" s="112"/>
      <c r="B11" s="113"/>
      <c r="C11" s="114"/>
      <c r="D11" s="115"/>
      <c r="E11" s="118"/>
      <c r="F11" s="123"/>
      <c r="G11" s="118" t="s">
        <v>160</v>
      </c>
      <c r="H11" s="118" t="s">
        <v>161</v>
      </c>
      <c r="I11" s="118"/>
      <c r="J11" s="117"/>
      <c r="K11" s="117"/>
      <c r="L11" s="118"/>
      <c r="M11" s="118" t="s">
        <v>160</v>
      </c>
      <c r="N11" s="118" t="s">
        <v>161</v>
      </c>
      <c r="O11" s="118"/>
      <c r="P11" s="116"/>
    </row>
    <row r="12" spans="1:18" ht="31.5" customHeight="1" x14ac:dyDescent="0.2">
      <c r="A12" s="112"/>
      <c r="B12" s="113"/>
      <c r="C12" s="114"/>
      <c r="D12" s="115"/>
      <c r="E12" s="118"/>
      <c r="F12" s="123"/>
      <c r="G12" s="118"/>
      <c r="H12" s="118"/>
      <c r="I12" s="118"/>
      <c r="J12" s="117"/>
      <c r="K12" s="117"/>
      <c r="L12" s="118"/>
      <c r="M12" s="118"/>
      <c r="N12" s="118"/>
      <c r="O12" s="118"/>
      <c r="P12" s="116"/>
    </row>
    <row r="13" spans="1:18" s="61" customFormat="1" x14ac:dyDescent="0.2">
      <c r="A13" s="59">
        <v>1</v>
      </c>
      <c r="B13" s="59" t="s">
        <v>121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212</v>
      </c>
      <c r="B14" s="6"/>
      <c r="C14" s="7"/>
      <c r="D14" s="31" t="s">
        <v>162</v>
      </c>
      <c r="E14" s="13">
        <f>E16</f>
        <v>65597069</v>
      </c>
      <c r="F14" s="13">
        <f t="shared" ref="F14:P14" si="0">F16</f>
        <v>65597069</v>
      </c>
      <c r="G14" s="13">
        <f t="shared" si="0"/>
        <v>38690500</v>
      </c>
      <c r="H14" s="13">
        <f t="shared" si="0"/>
        <v>1202500</v>
      </c>
      <c r="I14" s="13">
        <f t="shared" si="0"/>
        <v>0</v>
      </c>
      <c r="J14" s="13">
        <f>J16</f>
        <v>7332777</v>
      </c>
      <c r="K14" s="13">
        <f>K16</f>
        <v>4405800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5315177</v>
      </c>
      <c r="P14" s="13">
        <f t="shared" si="0"/>
        <v>72929846</v>
      </c>
      <c r="R14" s="34"/>
    </row>
    <row r="15" spans="1:18" s="1" customFormat="1" ht="13.5" x14ac:dyDescent="0.2">
      <c r="A15" s="63"/>
      <c r="B15" s="64"/>
      <c r="C15" s="65"/>
      <c r="D15" s="15" t="s">
        <v>36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219</v>
      </c>
      <c r="B16" s="6"/>
      <c r="C16" s="7"/>
      <c r="D16" s="15" t="s">
        <v>162</v>
      </c>
      <c r="E16" s="68">
        <f>E17+E20+E41+E22+E25+E29+E27+E34+E35+E39+E30+E33+E18+E32</f>
        <v>65597069</v>
      </c>
      <c r="F16" s="68">
        <f>F17+F20+F41+F22+F25+F29+F27+F34+F35+F39+F30+F33+F18+F32</f>
        <v>65597069</v>
      </c>
      <c r="G16" s="68">
        <f>G17+G20+G41+G22+G25+G29+G27+G34+G35+G39+G30+G33+G18</f>
        <v>38690500</v>
      </c>
      <c r="H16" s="68">
        <f>H17+H20+H41+H22+H25+H29+H27+H34+H35+H39+H30+H33+H18</f>
        <v>1202500</v>
      </c>
      <c r="I16" s="68">
        <f>I17+I20+I41+I22+I25+I29+I27+I34+I35+I39+I30+I33+I18</f>
        <v>0</v>
      </c>
      <c r="J16" s="68">
        <f>J17+J32+J34+J31+J37+J39+J41+J23+J25</f>
        <v>7332777</v>
      </c>
      <c r="K16" s="68">
        <f>K17+K20+K41+K22+K25+K29+K27+K34+K35+K39+K30+K33+K18+K37+K32+K23</f>
        <v>4405800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5315177</v>
      </c>
      <c r="P16" s="68">
        <f>P17+P25+P27+P29+P31+P32+P34+P37+P39+P41+P23</f>
        <v>72929846</v>
      </c>
    </row>
    <row r="17" spans="1:17" ht="41.25" customHeight="1" x14ac:dyDescent="0.2">
      <c r="A17" s="41" t="s">
        <v>220</v>
      </c>
      <c r="B17" s="4" t="s">
        <v>217</v>
      </c>
      <c r="C17" s="4" t="s">
        <v>163</v>
      </c>
      <c r="D17" s="23" t="s">
        <v>218</v>
      </c>
      <c r="E17" s="11">
        <f t="shared" ref="E17:E24" si="1">F17+I17</f>
        <v>54157569</v>
      </c>
      <c r="F17" s="11">
        <f>53325569+200000+129000+403000+100000</f>
        <v>54157569</v>
      </c>
      <c r="G17" s="11">
        <f>38826200-135700</f>
        <v>38690500</v>
      </c>
      <c r="H17" s="11">
        <f>1181000-78500+100000</f>
        <v>1202500</v>
      </c>
      <c r="I17" s="11"/>
      <c r="J17" s="11">
        <f>L17+O17</f>
        <v>1340500</v>
      </c>
      <c r="K17" s="11">
        <f>1872500-129000-403000</f>
        <v>1340500</v>
      </c>
      <c r="L17" s="11"/>
      <c r="M17" s="11"/>
      <c r="N17" s="11"/>
      <c r="O17" s="11">
        <f>K17</f>
        <v>1340500</v>
      </c>
      <c r="P17" s="13">
        <f t="shared" ref="P17:P41" si="2">E17+J17</f>
        <v>55498069</v>
      </c>
    </row>
    <row r="18" spans="1:17" ht="25.5" hidden="1" x14ac:dyDescent="0.2">
      <c r="A18" s="41" t="s">
        <v>578</v>
      </c>
      <c r="B18" s="4" t="s">
        <v>579</v>
      </c>
      <c r="C18" s="4"/>
      <c r="D18" s="5" t="s">
        <v>582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580</v>
      </c>
      <c r="B19" s="3" t="s">
        <v>581</v>
      </c>
      <c r="C19" s="3" t="s">
        <v>235</v>
      </c>
      <c r="D19" s="69" t="s">
        <v>583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471</v>
      </c>
      <c r="B20" s="4" t="s">
        <v>447</v>
      </c>
      <c r="C20" s="4"/>
      <c r="D20" s="5" t="s">
        <v>67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472</v>
      </c>
      <c r="B21" s="3" t="s">
        <v>449</v>
      </c>
      <c r="C21" s="3" t="s">
        <v>165</v>
      </c>
      <c r="D21" s="70" t="s">
        <v>468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70</v>
      </c>
      <c r="B22" s="4" t="s">
        <v>74</v>
      </c>
      <c r="C22" s="4"/>
      <c r="D22" s="72" t="s">
        <v>69</v>
      </c>
      <c r="E22" s="11">
        <f t="shared" si="1"/>
        <v>0</v>
      </c>
      <c r="F22" s="11"/>
      <c r="G22" s="11"/>
      <c r="H22" s="11"/>
      <c r="I22" s="11"/>
      <c r="J22" s="11">
        <f>J23</f>
        <v>2200000</v>
      </c>
      <c r="K22" s="11"/>
      <c r="L22" s="11"/>
      <c r="M22" s="11"/>
      <c r="N22" s="11"/>
      <c r="O22" s="71">
        <f t="shared" si="4"/>
        <v>0</v>
      </c>
      <c r="P22" s="13">
        <f t="shared" si="2"/>
        <v>2200000</v>
      </c>
    </row>
    <row r="23" spans="1:17" x14ac:dyDescent="0.2">
      <c r="A23" s="41" t="s">
        <v>25</v>
      </c>
      <c r="B23" s="4" t="s">
        <v>26</v>
      </c>
      <c r="C23" s="4" t="s">
        <v>27</v>
      </c>
      <c r="D23" s="82" t="s">
        <v>28</v>
      </c>
      <c r="E23" s="11">
        <f t="shared" si="1"/>
        <v>0</v>
      </c>
      <c r="F23" s="11"/>
      <c r="G23" s="11"/>
      <c r="H23" s="11"/>
      <c r="I23" s="11"/>
      <c r="J23" s="11">
        <f t="shared" si="3"/>
        <v>2200000</v>
      </c>
      <c r="K23" s="11">
        <f>5000000-2800000</f>
        <v>2200000</v>
      </c>
      <c r="L23" s="11"/>
      <c r="M23" s="11"/>
      <c r="N23" s="11"/>
      <c r="O23" s="71">
        <f t="shared" si="4"/>
        <v>2200000</v>
      </c>
      <c r="P23" s="13">
        <f t="shared" si="2"/>
        <v>2200000</v>
      </c>
    </row>
    <row r="24" spans="1:17" s="1" customFormat="1" ht="38.25" hidden="1" x14ac:dyDescent="0.2">
      <c r="A24" s="36"/>
      <c r="B24" s="3"/>
      <c r="C24" s="3"/>
      <c r="D24" s="73" t="s">
        <v>632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222</v>
      </c>
      <c r="B25" s="20" t="s">
        <v>221</v>
      </c>
      <c r="C25" s="20" t="s">
        <v>55</v>
      </c>
      <c r="D25" s="5" t="s">
        <v>123</v>
      </c>
      <c r="E25" s="11">
        <f t="shared" ref="E25:E33" si="5">F25+I25</f>
        <v>750200</v>
      </c>
      <c r="F25" s="71">
        <f>800000-49800</f>
        <v>750200</v>
      </c>
      <c r="G25" s="71"/>
      <c r="H25" s="71"/>
      <c r="I25" s="71"/>
      <c r="J25" s="11">
        <f t="shared" si="3"/>
        <v>49800</v>
      </c>
      <c r="K25" s="71">
        <v>49800</v>
      </c>
      <c r="L25" s="71"/>
      <c r="M25" s="71"/>
      <c r="N25" s="71"/>
      <c r="O25" s="71">
        <f t="shared" si="4"/>
        <v>49800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519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225</v>
      </c>
      <c r="B27" s="4" t="s">
        <v>224</v>
      </c>
      <c r="C27" s="4" t="s">
        <v>170</v>
      </c>
      <c r="D27" s="47" t="s">
        <v>125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525</v>
      </c>
      <c r="B28" s="4" t="s">
        <v>223</v>
      </c>
      <c r="C28" s="8" t="s">
        <v>169</v>
      </c>
      <c r="D28" s="21" t="s">
        <v>526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422</v>
      </c>
      <c r="B29" s="4" t="s">
        <v>421</v>
      </c>
      <c r="C29" s="4" t="s">
        <v>169</v>
      </c>
      <c r="D29" s="21" t="s">
        <v>423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229</v>
      </c>
      <c r="B30" s="4" t="s">
        <v>228</v>
      </c>
      <c r="C30" s="4"/>
      <c r="D30" s="21" t="s">
        <v>230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432</v>
      </c>
      <c r="B31" s="4" t="s">
        <v>431</v>
      </c>
      <c r="C31" s="4" t="s">
        <v>169</v>
      </c>
      <c r="D31" s="21" t="s">
        <v>464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231</v>
      </c>
      <c r="B32" s="4" t="s">
        <v>232</v>
      </c>
      <c r="C32" s="4" t="s">
        <v>169</v>
      </c>
      <c r="D32" s="21" t="s">
        <v>233</v>
      </c>
      <c r="E32" s="11">
        <f t="shared" si="5"/>
        <v>7439850</v>
      </c>
      <c r="F32" s="11">
        <f>6966419+200000+147000+126431</f>
        <v>7439850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7513350</v>
      </c>
    </row>
    <row r="33" spans="1:18" hidden="1" x14ac:dyDescent="0.2">
      <c r="A33" s="41" t="s">
        <v>128</v>
      </c>
      <c r="B33" s="20" t="s">
        <v>75</v>
      </c>
      <c r="C33" s="20" t="s">
        <v>176</v>
      </c>
      <c r="D33" s="14" t="s">
        <v>177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227</v>
      </c>
      <c r="B34" s="4" t="s">
        <v>226</v>
      </c>
      <c r="C34" s="4" t="s">
        <v>172</v>
      </c>
      <c r="D34" s="14" t="s">
        <v>433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124</v>
      </c>
      <c r="B35" s="4" t="s">
        <v>110</v>
      </c>
      <c r="C35" s="4" t="s">
        <v>173</v>
      </c>
      <c r="D35" s="14" t="s">
        <v>174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504</v>
      </c>
      <c r="B36" s="4" t="s">
        <v>505</v>
      </c>
      <c r="C36" s="4"/>
      <c r="D36" s="14" t="s">
        <v>508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506</v>
      </c>
      <c r="B37" s="4" t="s">
        <v>507</v>
      </c>
      <c r="C37" s="4" t="s">
        <v>171</v>
      </c>
      <c r="D37" s="14" t="s">
        <v>175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13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509</v>
      </c>
      <c r="B39" s="4" t="s">
        <v>510</v>
      </c>
      <c r="C39" s="4" t="s">
        <v>398</v>
      </c>
      <c r="D39" s="72" t="s">
        <v>511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175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647</v>
      </c>
      <c r="B41" s="4" t="s">
        <v>646</v>
      </c>
      <c r="C41" s="4" t="s">
        <v>167</v>
      </c>
      <c r="D41" s="75" t="s">
        <v>648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213</v>
      </c>
      <c r="B42" s="6"/>
      <c r="C42" s="7"/>
      <c r="D42" s="31" t="s">
        <v>178</v>
      </c>
      <c r="E42" s="25">
        <f>E51</f>
        <v>559698606</v>
      </c>
      <c r="F42" s="25">
        <f t="shared" ref="F42:P42" si="6">F51</f>
        <v>559698606</v>
      </c>
      <c r="G42" s="25">
        <f t="shared" si="6"/>
        <v>396679262</v>
      </c>
      <c r="H42" s="25">
        <f t="shared" si="6"/>
        <v>47732067</v>
      </c>
      <c r="I42" s="25"/>
      <c r="J42" s="25">
        <f t="shared" si="6"/>
        <v>57725694</v>
      </c>
      <c r="K42" s="25">
        <f>K51</f>
        <v>35962464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36053864</v>
      </c>
      <c r="P42" s="25">
        <f t="shared" si="6"/>
        <v>617424300</v>
      </c>
      <c r="Q42" s="39"/>
      <c r="R42" s="34"/>
    </row>
    <row r="43" spans="1:18" s="1" customFormat="1" x14ac:dyDescent="0.2">
      <c r="A43" s="36"/>
      <c r="B43" s="18"/>
      <c r="C43" s="3"/>
      <c r="D43" s="35" t="s">
        <v>129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502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675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515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599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45</v>
      </c>
      <c r="E48" s="10">
        <f>E91</f>
        <v>798157</v>
      </c>
      <c r="F48" s="10">
        <f t="shared" ref="F48:P48" si="8">F91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536</v>
      </c>
      <c r="E49" s="10">
        <f>E93</f>
        <v>1646726</v>
      </c>
      <c r="F49" s="10">
        <f>F93</f>
        <v>1646726</v>
      </c>
      <c r="G49" s="10">
        <f>G93</f>
        <v>1021900</v>
      </c>
      <c r="H49" s="10">
        <f>H72+H83</f>
        <v>0</v>
      </c>
      <c r="I49" s="10">
        <f>I72+I83</f>
        <v>0</v>
      </c>
      <c r="J49" s="10">
        <f>J93</f>
        <v>835608</v>
      </c>
      <c r="K49" s="10">
        <f>K93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16</v>
      </c>
      <c r="E50" s="10">
        <f>E95</f>
        <v>114499</v>
      </c>
      <c r="F50" s="10">
        <f t="shared" ref="F50:O50" si="9">F95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234</v>
      </c>
      <c r="B51" s="8"/>
      <c r="C51" s="7"/>
      <c r="D51" s="14" t="s">
        <v>178</v>
      </c>
      <c r="E51" s="25">
        <f>E52+E53+E57+E60+E69+E70+E75+E77+E81+E84+E86+E87+E92+E74+E94+E90+E88</f>
        <v>559698606</v>
      </c>
      <c r="F51" s="25">
        <f>F52+F53+F57+F60+F69+F70+F75+F77+F81+F84+F86+F87+F92+F74+F94+F90+F88</f>
        <v>559698606</v>
      </c>
      <c r="G51" s="25">
        <f>G52+G53+G57+G60+G69+G70+G75+G77+G81+G84+G86+G87+G92+G74+G94+G90+G88</f>
        <v>396679262</v>
      </c>
      <c r="H51" s="25">
        <f>H52+H53+H57+H60+H69+H70+H75+H77+H81+H84+H86+H87+H92</f>
        <v>47732067</v>
      </c>
      <c r="I51" s="25">
        <f>I52+I53+I57+I60+I69+I70+I75+I77+I81+I84+I86+I87+I92</f>
        <v>0</v>
      </c>
      <c r="J51" s="25">
        <f>J52+J53+J57+J60+J69+J70+J75+J77+J81+J84+J86+J87+J92+J74+J94+J89+J90</f>
        <v>57725694</v>
      </c>
      <c r="K51" s="25">
        <f>K52+K53+K57+K60+K69+K70+K75+K77+K81+K84+K86+K87+K92+K74+K94+K89+K90</f>
        <v>35962464</v>
      </c>
      <c r="L51" s="25">
        <f>L52+L53+L57+L60+L69+L70+L75+L77+L81+L84+L86+L87+L92+L74+L94+L89</f>
        <v>21671830</v>
      </c>
      <c r="M51" s="25">
        <f>M52+M53+M57+M60+M69+M70+M75+M77+M81+M84+M86+M87+M92+M74+M94+M89</f>
        <v>1262830</v>
      </c>
      <c r="N51" s="25">
        <f>N52+N53+N57+N60+N69+N70+N75+N77+N81+N84+N86+N87+N92+N74+N94+N89</f>
        <v>73850</v>
      </c>
      <c r="O51" s="25">
        <f>O52+O53+O57+O60+O69+O70+O75+O77+O81+O84+O86+O87+O92+O74+O94+O89+O90</f>
        <v>36053864</v>
      </c>
      <c r="P51" s="25">
        <f>P52+P53+P57+P60+P69+P70+P75+P77+P81+P84+P86+P87+P92+P74+P94+P89+P90+P88</f>
        <v>617424300</v>
      </c>
    </row>
    <row r="52" spans="1:18" ht="25.5" x14ac:dyDescent="0.2">
      <c r="A52" s="41" t="s">
        <v>236</v>
      </c>
      <c r="B52" s="4" t="s">
        <v>235</v>
      </c>
      <c r="C52" s="4" t="s">
        <v>163</v>
      </c>
      <c r="D52" s="14" t="s">
        <v>645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1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1" si="11">E52+J52</f>
        <v>2399500</v>
      </c>
    </row>
    <row r="53" spans="1:18" x14ac:dyDescent="0.2">
      <c r="A53" s="41" t="s">
        <v>238</v>
      </c>
      <c r="B53" s="20" t="s">
        <v>106</v>
      </c>
      <c r="C53" s="20" t="s">
        <v>179</v>
      </c>
      <c r="D53" s="5" t="s">
        <v>237</v>
      </c>
      <c r="E53" s="11">
        <f>F53</f>
        <v>190545621</v>
      </c>
      <c r="F53" s="12">
        <f>178430621+1432000+1039000+120000+524000+2700000-350000-20000-1500000+8170000</f>
        <v>190545621</v>
      </c>
      <c r="G53" s="12">
        <f>122869300-1600000-400000-1000000+6080000</f>
        <v>125949300</v>
      </c>
      <c r="H53" s="12">
        <f>18317400+1490000+524000+2700000-350000-20000</f>
        <v>22661400</v>
      </c>
      <c r="I53" s="12"/>
      <c r="J53" s="11">
        <f t="shared" si="10"/>
        <v>24802258</v>
      </c>
      <c r="K53" s="12">
        <f>6953000-106042</f>
        <v>6846958</v>
      </c>
      <c r="L53" s="12">
        <v>17955300</v>
      </c>
      <c r="M53" s="12">
        <v>31000</v>
      </c>
      <c r="N53" s="12">
        <v>1400</v>
      </c>
      <c r="O53" s="12">
        <f>K53</f>
        <v>6846958</v>
      </c>
      <c r="P53" s="13">
        <f t="shared" si="11"/>
        <v>215347879</v>
      </c>
      <c r="Q53" s="104"/>
      <c r="R53" s="105"/>
    </row>
    <row r="54" spans="1:18" ht="38.25" hidden="1" x14ac:dyDescent="0.2">
      <c r="A54" s="41"/>
      <c r="B54" s="20"/>
      <c r="C54" s="20"/>
      <c r="D54" s="35" t="s">
        <v>536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627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519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661</v>
      </c>
      <c r="B57" s="98" t="s">
        <v>651</v>
      </c>
      <c r="C57" s="20" t="s">
        <v>180</v>
      </c>
      <c r="D57" s="21" t="s">
        <v>663</v>
      </c>
      <c r="E57" s="11">
        <f>F57</f>
        <v>70643997</v>
      </c>
      <c r="F57" s="12">
        <f>72080997+6000-1500000-733000+300000+490000</f>
        <v>70643997</v>
      </c>
      <c r="G57" s="12">
        <f>33432800-800000</f>
        <v>32632800</v>
      </c>
      <c r="H57" s="12">
        <f>24903067-100000-1500000-733000+300000</f>
        <v>22870067</v>
      </c>
      <c r="I57" s="12"/>
      <c r="J57" s="101">
        <f>L57+O57</f>
        <v>8195475</v>
      </c>
      <c r="K57" s="11">
        <f>5583332-5537</f>
        <v>5577795</v>
      </c>
      <c r="L57" s="11">
        <v>2578880</v>
      </c>
      <c r="M57" s="11">
        <v>1009130</v>
      </c>
      <c r="N57" s="11">
        <v>54500</v>
      </c>
      <c r="O57" s="11">
        <f>K57+38800</f>
        <v>5616595</v>
      </c>
      <c r="P57" s="13">
        <f t="shared" si="11"/>
        <v>78839472</v>
      </c>
    </row>
    <row r="58" spans="1:18" ht="38.25" x14ac:dyDescent="0.2">
      <c r="A58" s="41"/>
      <c r="B58" s="98"/>
      <c r="C58" s="20"/>
      <c r="D58" s="35" t="s">
        <v>675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2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519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662</v>
      </c>
      <c r="B60" s="98" t="s">
        <v>652</v>
      </c>
      <c r="C60" s="20" t="s">
        <v>180</v>
      </c>
      <c r="D60" s="21" t="s">
        <v>663</v>
      </c>
      <c r="E60" s="11">
        <f t="shared" ref="E60:E95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205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165</v>
      </c>
      <c r="C62" s="20" t="s">
        <v>180</v>
      </c>
      <c r="D62" s="5" t="s">
        <v>130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605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600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502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515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129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664</v>
      </c>
      <c r="B69" s="98" t="s">
        <v>653</v>
      </c>
      <c r="C69" s="20" t="s">
        <v>151</v>
      </c>
      <c r="D69" s="23" t="s">
        <v>616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665</v>
      </c>
      <c r="B70" s="98" t="s">
        <v>654</v>
      </c>
      <c r="C70" s="20" t="s">
        <v>151</v>
      </c>
      <c r="D70" s="23" t="s">
        <v>616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502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536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129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1</v>
      </c>
      <c r="B74" s="22" t="s">
        <v>2</v>
      </c>
      <c r="C74" s="22" t="s">
        <v>180</v>
      </c>
      <c r="D74" s="103" t="s">
        <v>660</v>
      </c>
      <c r="E74" s="11">
        <f t="shared" si="13"/>
        <v>1820534</v>
      </c>
      <c r="F74" s="11">
        <f>1220534+600000</f>
        <v>1820534</v>
      </c>
      <c r="G74" s="10"/>
      <c r="H74" s="17"/>
      <c r="I74" s="17"/>
      <c r="J74" s="11">
        <f t="shared" si="10"/>
        <v>17200036</v>
      </c>
      <c r="K74" s="12">
        <f>17218457-18421</f>
        <v>17200036</v>
      </c>
      <c r="L74" s="17"/>
      <c r="M74" s="17"/>
      <c r="N74" s="17"/>
      <c r="O74" s="12">
        <f t="shared" si="12"/>
        <v>17200036</v>
      </c>
      <c r="P74" s="16">
        <f t="shared" si="11"/>
        <v>19020570</v>
      </c>
    </row>
    <row r="75" spans="1:16" ht="25.5" x14ac:dyDescent="0.2">
      <c r="A75" s="41" t="s">
        <v>666</v>
      </c>
      <c r="B75" s="98" t="s">
        <v>72</v>
      </c>
      <c r="C75" s="20" t="s">
        <v>181</v>
      </c>
      <c r="D75" s="21" t="s">
        <v>617</v>
      </c>
      <c r="E75" s="11">
        <f t="shared" si="13"/>
        <v>24041219</v>
      </c>
      <c r="F75" s="12">
        <f>23248900-208681+10000+46000+115000+830000</f>
        <v>24041219</v>
      </c>
      <c r="G75" s="12">
        <f>17026170-171000+580000</f>
        <v>17435170</v>
      </c>
      <c r="H75" s="12">
        <f>1217000+100000+10000+115000</f>
        <v>1442000</v>
      </c>
      <c r="I75" s="12"/>
      <c r="J75" s="11">
        <f>L75+O75</f>
        <v>2963250</v>
      </c>
      <c r="K75" s="12">
        <f>1643000+130000</f>
        <v>1773000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1825600</v>
      </c>
      <c r="P75" s="13">
        <f>E75+J75</f>
        <v>27004469</v>
      </c>
    </row>
    <row r="76" spans="1:16" s="1" customFormat="1" hidden="1" x14ac:dyDescent="0.2">
      <c r="A76" s="36"/>
      <c r="B76" s="97"/>
      <c r="C76" s="22"/>
      <c r="D76" s="19" t="s">
        <v>519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241</v>
      </c>
      <c r="B77" s="98" t="s">
        <v>240</v>
      </c>
      <c r="C77" s="20" t="s">
        <v>182</v>
      </c>
      <c r="D77" s="5" t="s">
        <v>667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76</v>
      </c>
      <c r="C78" s="20" t="s">
        <v>182</v>
      </c>
      <c r="D78" s="21" t="s">
        <v>131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77</v>
      </c>
      <c r="C79" s="20" t="s">
        <v>182</v>
      </c>
      <c r="D79" s="21" t="s">
        <v>132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241</v>
      </c>
      <c r="B80" s="96" t="s">
        <v>240</v>
      </c>
      <c r="C80" s="20"/>
      <c r="D80" s="42" t="s">
        <v>239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668</v>
      </c>
      <c r="B81" s="98" t="s">
        <v>655</v>
      </c>
      <c r="C81" s="20" t="s">
        <v>182</v>
      </c>
      <c r="D81" s="42" t="s">
        <v>434</v>
      </c>
      <c r="E81" s="11">
        <f t="shared" si="13"/>
        <v>11560000</v>
      </c>
      <c r="F81" s="12">
        <f>11399000+17000+144000</f>
        <v>11560000</v>
      </c>
      <c r="G81" s="12">
        <v>8360960</v>
      </c>
      <c r="H81" s="12">
        <f>569500+45100+144000</f>
        <v>758600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11685200</v>
      </c>
    </row>
    <row r="82" spans="1:18" hidden="1" x14ac:dyDescent="0.2">
      <c r="A82" s="41"/>
      <c r="B82" s="96"/>
      <c r="C82" s="20"/>
      <c r="D82" s="42" t="s">
        <v>584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536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669</v>
      </c>
      <c r="B84" s="98" t="s">
        <v>656</v>
      </c>
      <c r="C84" s="20" t="s">
        <v>182</v>
      </c>
      <c r="D84" s="42" t="s">
        <v>435</v>
      </c>
      <c r="E84" s="11">
        <f t="shared" si="13"/>
        <v>525070</v>
      </c>
      <c r="F84" s="12">
        <f>278000+7070+50000+100000+90000</f>
        <v>525070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525070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671</v>
      </c>
      <c r="B86" s="98" t="s">
        <v>657</v>
      </c>
      <c r="C86" s="20" t="s">
        <v>182</v>
      </c>
      <c r="D86" s="14" t="s">
        <v>670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672</v>
      </c>
      <c r="B87" s="100" t="s">
        <v>658</v>
      </c>
      <c r="C87" s="22" t="s">
        <v>182</v>
      </c>
      <c r="D87" s="14" t="s">
        <v>673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s="1" customFormat="1" ht="51" x14ac:dyDescent="0.2">
      <c r="A88" s="36" t="s">
        <v>33</v>
      </c>
      <c r="B88" s="22" t="s">
        <v>34</v>
      </c>
      <c r="C88" s="22" t="s">
        <v>182</v>
      </c>
      <c r="D88" s="14" t="s">
        <v>35</v>
      </c>
      <c r="E88" s="11">
        <f t="shared" si="13"/>
        <v>2434338</v>
      </c>
      <c r="F88" s="17">
        <v>2434338</v>
      </c>
      <c r="G88" s="17">
        <v>1995360</v>
      </c>
      <c r="H88" s="17"/>
      <c r="I88" s="17"/>
      <c r="J88" s="11"/>
      <c r="K88" s="17"/>
      <c r="L88" s="17"/>
      <c r="M88" s="17"/>
      <c r="N88" s="17"/>
      <c r="O88" s="12"/>
      <c r="P88" s="13">
        <f t="shared" si="11"/>
        <v>2434338</v>
      </c>
    </row>
    <row r="89" spans="1:18" ht="38.25" x14ac:dyDescent="0.2">
      <c r="A89" s="41" t="s">
        <v>38</v>
      </c>
      <c r="B89" s="20" t="s">
        <v>39</v>
      </c>
      <c r="C89" s="20" t="s">
        <v>182</v>
      </c>
      <c r="D89" s="5" t="s">
        <v>40</v>
      </c>
      <c r="E89" s="11">
        <f t="shared" si="13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2"/>
        <v>1140000</v>
      </c>
      <c r="P89" s="13">
        <f t="shared" si="11"/>
        <v>1140000</v>
      </c>
    </row>
    <row r="90" spans="1:18" ht="38.25" x14ac:dyDescent="0.2">
      <c r="A90" s="41" t="s">
        <v>41</v>
      </c>
      <c r="B90" s="20" t="s">
        <v>42</v>
      </c>
      <c r="C90" s="20" t="s">
        <v>182</v>
      </c>
      <c r="D90" s="5" t="s">
        <v>43</v>
      </c>
      <c r="E90" s="11">
        <f t="shared" si="13"/>
        <v>798157</v>
      </c>
      <c r="F90" s="12">
        <v>798157</v>
      </c>
      <c r="G90" s="12">
        <v>24868</v>
      </c>
      <c r="H90" s="12"/>
      <c r="I90" s="12"/>
      <c r="J90" s="11">
        <f t="shared" si="10"/>
        <v>2403643</v>
      </c>
      <c r="K90" s="12">
        <v>2403643</v>
      </c>
      <c r="L90" s="12"/>
      <c r="M90" s="12"/>
      <c r="N90" s="12"/>
      <c r="O90" s="12">
        <f>K90</f>
        <v>2403643</v>
      </c>
      <c r="P90" s="13">
        <f t="shared" si="11"/>
        <v>3201800</v>
      </c>
    </row>
    <row r="91" spans="1:18" s="1" customFormat="1" ht="38.25" x14ac:dyDescent="0.2">
      <c r="A91" s="36"/>
      <c r="B91" s="22"/>
      <c r="C91" s="22"/>
      <c r="D91" s="43" t="s">
        <v>44</v>
      </c>
      <c r="E91" s="11">
        <f t="shared" si="13"/>
        <v>798157</v>
      </c>
      <c r="F91" s="17">
        <f>F90</f>
        <v>798157</v>
      </c>
      <c r="G91" s="17">
        <f>G90</f>
        <v>24868</v>
      </c>
      <c r="H91" s="17"/>
      <c r="I91" s="17"/>
      <c r="J91" s="11">
        <f t="shared" si="10"/>
        <v>2403643</v>
      </c>
      <c r="K91" s="17">
        <f>K90</f>
        <v>2403643</v>
      </c>
      <c r="L91" s="17"/>
      <c r="M91" s="17"/>
      <c r="N91" s="17"/>
      <c r="O91" s="12">
        <f t="shared" si="12"/>
        <v>2403643</v>
      </c>
      <c r="P91" s="13">
        <f t="shared" si="11"/>
        <v>3201800</v>
      </c>
    </row>
    <row r="92" spans="1:18" ht="25.5" x14ac:dyDescent="0.2">
      <c r="A92" s="41" t="s">
        <v>676</v>
      </c>
      <c r="B92" s="20" t="s">
        <v>77</v>
      </c>
      <c r="C92" s="4" t="s">
        <v>182</v>
      </c>
      <c r="D92" s="82" t="s">
        <v>677</v>
      </c>
      <c r="E92" s="11">
        <f t="shared" si="13"/>
        <v>1646726</v>
      </c>
      <c r="F92" s="12">
        <v>1646726</v>
      </c>
      <c r="G92" s="12">
        <v>1021900</v>
      </c>
      <c r="H92" s="12"/>
      <c r="I92" s="12"/>
      <c r="J92" s="11">
        <f>K92</f>
        <v>835608</v>
      </c>
      <c r="K92" s="12">
        <v>835608</v>
      </c>
      <c r="L92" s="12"/>
      <c r="M92" s="12"/>
      <c r="N92" s="12"/>
      <c r="O92" s="12">
        <f t="shared" si="12"/>
        <v>835608</v>
      </c>
      <c r="P92" s="13">
        <f>E92+J92</f>
        <v>2482334</v>
      </c>
    </row>
    <row r="93" spans="1:18" s="1" customFormat="1" ht="38.25" x14ac:dyDescent="0.2">
      <c r="A93" s="36"/>
      <c r="B93" s="22"/>
      <c r="C93" s="3"/>
      <c r="D93" s="35" t="s">
        <v>536</v>
      </c>
      <c r="E93" s="10">
        <f t="shared" si="13"/>
        <v>1646726</v>
      </c>
      <c r="F93" s="10">
        <f>F92</f>
        <v>1646726</v>
      </c>
      <c r="G93" s="10">
        <f>G92</f>
        <v>1021900</v>
      </c>
      <c r="H93" s="17"/>
      <c r="I93" s="17"/>
      <c r="J93" s="11">
        <f>K93</f>
        <v>835608</v>
      </c>
      <c r="K93" s="17">
        <f>K92</f>
        <v>835608</v>
      </c>
      <c r="L93" s="17"/>
      <c r="M93" s="17"/>
      <c r="N93" s="17"/>
      <c r="O93" s="12">
        <f>K93</f>
        <v>835608</v>
      </c>
      <c r="P93" s="13">
        <f>E93+J93</f>
        <v>2482334</v>
      </c>
    </row>
    <row r="94" spans="1:18" ht="38.25" x14ac:dyDescent="0.2">
      <c r="A94" s="41" t="s">
        <v>14</v>
      </c>
      <c r="B94" s="20" t="s">
        <v>15</v>
      </c>
      <c r="C94" s="4" t="s">
        <v>182</v>
      </c>
      <c r="D94" s="77" t="s">
        <v>17</v>
      </c>
      <c r="E94" s="10">
        <f t="shared" si="13"/>
        <v>408403</v>
      </c>
      <c r="F94" s="11">
        <f>114499+293904</f>
        <v>408403</v>
      </c>
      <c r="G94" s="11">
        <f>93800+240904</f>
        <v>334704</v>
      </c>
      <c r="H94" s="12"/>
      <c r="I94" s="12"/>
      <c r="J94" s="11">
        <f>K94</f>
        <v>8424</v>
      </c>
      <c r="K94" s="12">
        <v>8424</v>
      </c>
      <c r="L94" s="12"/>
      <c r="M94" s="12"/>
      <c r="N94" s="12"/>
      <c r="O94" s="12">
        <f>K94</f>
        <v>8424</v>
      </c>
      <c r="P94" s="13">
        <f>E94+J94</f>
        <v>416827</v>
      </c>
    </row>
    <row r="95" spans="1:18" s="1" customFormat="1" ht="38.25" x14ac:dyDescent="0.2">
      <c r="A95" s="36"/>
      <c r="B95" s="22"/>
      <c r="C95" s="3"/>
      <c r="D95" s="35" t="s">
        <v>16</v>
      </c>
      <c r="E95" s="10">
        <f t="shared" si="13"/>
        <v>114499</v>
      </c>
      <c r="F95" s="10">
        <v>114499</v>
      </c>
      <c r="G95" s="10">
        <v>93800</v>
      </c>
      <c r="H95" s="17"/>
      <c r="I95" s="17"/>
      <c r="J95" s="11">
        <f>K95</f>
        <v>8424</v>
      </c>
      <c r="K95" s="17">
        <v>8424</v>
      </c>
      <c r="L95" s="17"/>
      <c r="M95" s="17"/>
      <c r="N95" s="17"/>
      <c r="O95" s="12">
        <f>K95</f>
        <v>8424</v>
      </c>
      <c r="P95" s="13">
        <f>E95+J95</f>
        <v>122923</v>
      </c>
    </row>
    <row r="96" spans="1:18" x14ac:dyDescent="0.2">
      <c r="A96" s="62" t="s">
        <v>214</v>
      </c>
      <c r="B96" s="6"/>
      <c r="C96" s="7"/>
      <c r="D96" s="31" t="s">
        <v>136</v>
      </c>
      <c r="E96" s="25">
        <f>E105</f>
        <v>46134196</v>
      </c>
      <c r="F96" s="25">
        <f t="shared" ref="F96:O96" si="14">F105</f>
        <v>46134196</v>
      </c>
      <c r="G96" s="25">
        <f t="shared" si="14"/>
        <v>1939700</v>
      </c>
      <c r="H96" s="25">
        <f t="shared" si="14"/>
        <v>34000</v>
      </c>
      <c r="I96" s="25">
        <f t="shared" si="14"/>
        <v>0</v>
      </c>
      <c r="J96" s="25">
        <f t="shared" si="14"/>
        <v>5495814</v>
      </c>
      <c r="K96" s="25">
        <f>K105</f>
        <v>5387157</v>
      </c>
      <c r="L96" s="25">
        <f t="shared" si="14"/>
        <v>108657</v>
      </c>
      <c r="M96" s="25">
        <f t="shared" si="14"/>
        <v>0</v>
      </c>
      <c r="N96" s="25">
        <f t="shared" si="14"/>
        <v>0</v>
      </c>
      <c r="O96" s="25">
        <f t="shared" si="14"/>
        <v>5387157</v>
      </c>
      <c r="P96" s="13">
        <f t="shared" si="11"/>
        <v>51630010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138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503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516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x14ac:dyDescent="0.2">
      <c r="A100" s="36"/>
      <c r="B100" s="18"/>
      <c r="C100" s="3"/>
      <c r="D100" s="35" t="s">
        <v>519</v>
      </c>
      <c r="E100" s="10">
        <f>E144+E110+E125</f>
        <v>347000</v>
      </c>
      <c r="F100" s="10">
        <f>F144+F110+F125</f>
        <v>347000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347000</v>
      </c>
    </row>
    <row r="101" spans="1:16" s="1" customFormat="1" ht="25.5" hidden="1" x14ac:dyDescent="0.2">
      <c r="A101" s="36"/>
      <c r="B101" s="18"/>
      <c r="C101" s="3"/>
      <c r="D101" s="19" t="s">
        <v>625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619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x14ac:dyDescent="0.2">
      <c r="A103" s="36"/>
      <c r="B103" s="18"/>
      <c r="C103" s="3"/>
      <c r="D103" s="19" t="s">
        <v>679</v>
      </c>
      <c r="E103" s="10">
        <f>F103</f>
        <v>5981008</v>
      </c>
      <c r="F103" s="10">
        <f>F112+F118+F122+F136</f>
        <v>5981008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5981008</v>
      </c>
    </row>
    <row r="104" spans="1:16" s="1" customFormat="1" ht="25.5" x14ac:dyDescent="0.2">
      <c r="A104" s="36"/>
      <c r="B104" s="18"/>
      <c r="C104" s="3"/>
      <c r="D104" s="35" t="s">
        <v>546</v>
      </c>
      <c r="E104" s="10"/>
      <c r="F104" s="17"/>
      <c r="G104" s="17"/>
      <c r="H104" s="17"/>
      <c r="I104" s="17"/>
      <c r="J104" s="17">
        <f>L104+O104</f>
        <v>347197</v>
      </c>
      <c r="K104" s="17">
        <f>K152</f>
        <v>347197</v>
      </c>
      <c r="L104" s="17"/>
      <c r="M104" s="17"/>
      <c r="N104" s="17"/>
      <c r="O104" s="17">
        <f>K104</f>
        <v>347197</v>
      </c>
      <c r="P104" s="16">
        <f t="shared" si="11"/>
        <v>347197</v>
      </c>
    </row>
    <row r="105" spans="1:16" s="1" customFormat="1" ht="16.5" customHeight="1" x14ac:dyDescent="0.2">
      <c r="A105" s="36" t="s">
        <v>242</v>
      </c>
      <c r="B105" s="18"/>
      <c r="C105" s="3"/>
      <c r="D105" s="15" t="s">
        <v>136</v>
      </c>
      <c r="E105" s="17">
        <f>E106+E107+E113+E119+E123+E131+E140+E146+E141+E142+E124+E133+E149</f>
        <v>46134196</v>
      </c>
      <c r="F105" s="17">
        <f>F106+F107+F113+F119+F123+F131+F140+F146+F141+F142+F124+F133+F149</f>
        <v>46134196</v>
      </c>
      <c r="G105" s="17">
        <f>G106+G107+G113+G119+G123+G131+G140+G146+G141+G142+G124</f>
        <v>1939700</v>
      </c>
      <c r="H105" s="17">
        <f>H106+H107+H113+H119+H123+H131+H140+H146+H141+H142+H124</f>
        <v>34000</v>
      </c>
      <c r="I105" s="17">
        <f>I106+I107+I113+I119+I123+I131+I140+I146+I141+I142+I124</f>
        <v>0</v>
      </c>
      <c r="J105" s="17">
        <f>J106+J107+J113+J119+J123+J131+J140+J146+J141+J124</f>
        <v>5495814</v>
      </c>
      <c r="K105" s="17">
        <f>K106+K107+K113+K119+K123+K131+K140+K146+K151+K124+K141</f>
        <v>5387157</v>
      </c>
      <c r="L105" s="17">
        <f>L106+L107+L113+L119+L123+L131+L140+L146+L141+L124</f>
        <v>108657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5387157</v>
      </c>
      <c r="P105" s="17">
        <f>P106+P107+P113+P119+P123+P131+P140+P146+P133+P141+P142+P124+P149</f>
        <v>51630010</v>
      </c>
    </row>
    <row r="106" spans="1:16" ht="25.5" x14ac:dyDescent="0.2">
      <c r="A106" s="41" t="s">
        <v>243</v>
      </c>
      <c r="B106" s="4" t="s">
        <v>235</v>
      </c>
      <c r="C106" s="4" t="s">
        <v>163</v>
      </c>
      <c r="D106" s="14" t="s">
        <v>645</v>
      </c>
      <c r="E106" s="11">
        <f t="shared" ref="E106:E143" si="15">F106+I106</f>
        <v>2516700</v>
      </c>
      <c r="F106" s="12">
        <f>1116700+1500000-100000</f>
        <v>2516700</v>
      </c>
      <c r="G106" s="12">
        <f>819700+1200000-80000</f>
        <v>1939700</v>
      </c>
      <c r="H106" s="12">
        <v>34000</v>
      </c>
      <c r="I106" s="12"/>
      <c r="J106" s="11">
        <f t="shared" ref="J106:J152" si="16">L106+O106</f>
        <v>91000</v>
      </c>
      <c r="K106" s="12">
        <f>45000+46000</f>
        <v>91000</v>
      </c>
      <c r="L106" s="12"/>
      <c r="M106" s="12"/>
      <c r="N106" s="12"/>
      <c r="O106" s="12">
        <f>K106</f>
        <v>91000</v>
      </c>
      <c r="P106" s="13">
        <f t="shared" si="11"/>
        <v>2607700</v>
      </c>
    </row>
    <row r="107" spans="1:16" x14ac:dyDescent="0.2">
      <c r="A107" s="41" t="s">
        <v>244</v>
      </c>
      <c r="B107" s="4" t="s">
        <v>80</v>
      </c>
      <c r="C107" s="4" t="s">
        <v>53</v>
      </c>
      <c r="D107" s="5" t="s">
        <v>137</v>
      </c>
      <c r="E107" s="11">
        <f t="shared" si="15"/>
        <v>9065231</v>
      </c>
      <c r="F107" s="12">
        <f>9302911-237680</f>
        <v>9065231</v>
      </c>
      <c r="G107" s="12"/>
      <c r="H107" s="12"/>
      <c r="I107" s="12"/>
      <c r="J107" s="11">
        <f t="shared" si="16"/>
        <v>1605000</v>
      </c>
      <c r="K107" s="12">
        <f>1400000+205000</f>
        <v>1605000</v>
      </c>
      <c r="L107" s="12"/>
      <c r="M107" s="12"/>
      <c r="N107" s="12"/>
      <c r="O107" s="12">
        <f>K107</f>
        <v>1605000</v>
      </c>
      <c r="P107" s="13">
        <f t="shared" si="11"/>
        <v>10670231</v>
      </c>
    </row>
    <row r="108" spans="1:16" hidden="1" x14ac:dyDescent="0.2">
      <c r="A108" s="41"/>
      <c r="B108" s="4"/>
      <c r="C108" s="4"/>
      <c r="D108" s="35" t="s">
        <v>138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x14ac:dyDescent="0.2">
      <c r="A110" s="41"/>
      <c r="B110" s="4"/>
      <c r="C110" s="4"/>
      <c r="D110" s="35" t="s">
        <v>519</v>
      </c>
      <c r="E110" s="11">
        <f t="shared" si="15"/>
        <v>314000</v>
      </c>
      <c r="F110" s="17">
        <v>314000</v>
      </c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314000</v>
      </c>
    </row>
    <row r="111" spans="1:16" ht="25.5" hidden="1" x14ac:dyDescent="0.2">
      <c r="A111" s="41"/>
      <c r="B111" s="4"/>
      <c r="C111" s="4"/>
      <c r="D111" s="35" t="s">
        <v>625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517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246</v>
      </c>
      <c r="B113" s="4" t="s">
        <v>245</v>
      </c>
      <c r="C113" s="4" t="s">
        <v>54</v>
      </c>
      <c r="D113" s="76" t="s">
        <v>139</v>
      </c>
      <c r="E113" s="11">
        <f t="shared" si="15"/>
        <v>17961580</v>
      </c>
      <c r="F113" s="12">
        <f>17602200-156000+515380</f>
        <v>17961580</v>
      </c>
      <c r="G113" s="12"/>
      <c r="H113" s="12"/>
      <c r="I113" s="12"/>
      <c r="J113" s="11">
        <f t="shared" si="16"/>
        <v>2086100</v>
      </c>
      <c r="K113" s="12">
        <f>1559800+156000+370300</f>
        <v>2086100</v>
      </c>
      <c r="L113" s="12"/>
      <c r="M113" s="12"/>
      <c r="N113" s="12"/>
      <c r="O113" s="12">
        <f t="shared" si="17"/>
        <v>2086100</v>
      </c>
      <c r="P113" s="13">
        <f t="shared" si="11"/>
        <v>20047680</v>
      </c>
    </row>
    <row r="114" spans="1:16" hidden="1" x14ac:dyDescent="0.2">
      <c r="A114" s="41"/>
      <c r="B114" s="4"/>
      <c r="C114" s="4"/>
      <c r="D114" s="35" t="s">
        <v>138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249</v>
      </c>
      <c r="B115" s="4" t="s">
        <v>248</v>
      </c>
      <c r="C115" s="4" t="s">
        <v>56</v>
      </c>
      <c r="D115" s="5" t="s">
        <v>247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138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503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517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585</v>
      </c>
      <c r="B119" s="4" t="s">
        <v>586</v>
      </c>
      <c r="C119" s="4" t="s">
        <v>56</v>
      </c>
      <c r="D119" s="46" t="s">
        <v>587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138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503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517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254</v>
      </c>
      <c r="B123" s="4" t="s">
        <v>253</v>
      </c>
      <c r="C123" s="4"/>
      <c r="D123" s="14" t="s">
        <v>465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>
        <f>N124</f>
        <v>0</v>
      </c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257</v>
      </c>
      <c r="B124" s="4" t="s">
        <v>256</v>
      </c>
      <c r="C124" s="4" t="s">
        <v>491</v>
      </c>
      <c r="D124" s="14" t="s">
        <v>255</v>
      </c>
      <c r="E124" s="11">
        <f t="shared" si="18"/>
        <v>2583707</v>
      </c>
      <c r="F124" s="12">
        <f>2338407+245300</f>
        <v>2583707</v>
      </c>
      <c r="G124" s="12"/>
      <c r="H124" s="12"/>
      <c r="I124" s="12"/>
      <c r="J124" s="11">
        <f>L124+O124</f>
        <v>139100</v>
      </c>
      <c r="K124" s="12">
        <v>50000</v>
      </c>
      <c r="L124" s="12">
        <v>89100</v>
      </c>
      <c r="M124" s="12"/>
      <c r="N124" s="12"/>
      <c r="O124" s="12">
        <f t="shared" si="17"/>
        <v>50000</v>
      </c>
      <c r="P124" s="13">
        <f t="shared" si="19"/>
        <v>2722807</v>
      </c>
    </row>
    <row r="125" spans="1:16" x14ac:dyDescent="0.2">
      <c r="A125" s="41"/>
      <c r="B125" s="4"/>
      <c r="C125" s="4"/>
      <c r="D125" s="35" t="s">
        <v>519</v>
      </c>
      <c r="E125" s="10">
        <f t="shared" si="18"/>
        <v>29000</v>
      </c>
      <c r="F125" s="12">
        <v>29000</v>
      </c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29000</v>
      </c>
    </row>
    <row r="126" spans="1:16" ht="25.5" hidden="1" x14ac:dyDescent="0.2">
      <c r="A126" s="41"/>
      <c r="B126" s="4"/>
      <c r="C126" s="4"/>
      <c r="D126" s="35" t="s">
        <v>204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138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503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252</v>
      </c>
      <c r="B129" s="4" t="s">
        <v>251</v>
      </c>
      <c r="C129" s="4" t="s">
        <v>57</v>
      </c>
      <c r="D129" s="14" t="s">
        <v>250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138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259</v>
      </c>
      <c r="B131" s="4" t="s">
        <v>81</v>
      </c>
      <c r="C131" s="4"/>
      <c r="D131" s="77" t="s">
        <v>258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>
        <f>N132+N133+N137</f>
        <v>0</v>
      </c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262</v>
      </c>
      <c r="B132" s="3" t="s">
        <v>261</v>
      </c>
      <c r="C132" s="3" t="s">
        <v>58</v>
      </c>
      <c r="D132" s="19" t="s">
        <v>260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x14ac:dyDescent="0.2">
      <c r="A133" s="41" t="s">
        <v>265</v>
      </c>
      <c r="B133" s="4" t="s">
        <v>264</v>
      </c>
      <c r="C133" s="4" t="s">
        <v>58</v>
      </c>
      <c r="D133" s="21" t="s">
        <v>263</v>
      </c>
      <c r="E133" s="11">
        <f t="shared" si="15"/>
        <v>5981008</v>
      </c>
      <c r="F133" s="11">
        <f>3948808+2032200</f>
        <v>5981008</v>
      </c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5981008</v>
      </c>
    </row>
    <row r="134" spans="1:16" s="1" customFormat="1" ht="25.5" hidden="1" customHeight="1" x14ac:dyDescent="0.2">
      <c r="A134" s="36"/>
      <c r="B134" s="3"/>
      <c r="C134" s="3"/>
      <c r="D134" s="19" t="s">
        <v>625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619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x14ac:dyDescent="0.2">
      <c r="A136" s="36"/>
      <c r="B136" s="3"/>
      <c r="C136" s="3"/>
      <c r="D136" s="19" t="s">
        <v>679</v>
      </c>
      <c r="E136" s="10">
        <f>F136</f>
        <v>5981008</v>
      </c>
      <c r="F136" s="10">
        <f>F133</f>
        <v>5981008</v>
      </c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5981008</v>
      </c>
    </row>
    <row r="137" spans="1:16" s="1" customFormat="1" hidden="1" x14ac:dyDescent="0.2">
      <c r="A137" s="36" t="s">
        <v>268</v>
      </c>
      <c r="B137" s="3" t="s">
        <v>267</v>
      </c>
      <c r="C137" s="3" t="s">
        <v>58</v>
      </c>
      <c r="D137" s="19" t="s">
        <v>266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138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518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271</v>
      </c>
      <c r="B140" s="4" t="s">
        <v>270</v>
      </c>
      <c r="C140" s="4"/>
      <c r="D140" s="14" t="s">
        <v>269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438</v>
      </c>
      <c r="B141" s="4" t="s">
        <v>436</v>
      </c>
      <c r="C141" s="4" t="s">
        <v>58</v>
      </c>
      <c r="D141" s="14" t="s">
        <v>440</v>
      </c>
      <c r="E141" s="11">
        <f t="shared" si="15"/>
        <v>2981690</v>
      </c>
      <c r="F141" s="12">
        <f>2931800+49890</f>
        <v>2981690</v>
      </c>
      <c r="G141" s="12"/>
      <c r="H141" s="12"/>
      <c r="I141" s="12"/>
      <c r="J141" s="11">
        <f t="shared" si="16"/>
        <v>69417</v>
      </c>
      <c r="K141" s="12">
        <v>49860</v>
      </c>
      <c r="L141" s="12">
        <v>19557</v>
      </c>
      <c r="M141" s="12"/>
      <c r="N141" s="12"/>
      <c r="O141" s="12">
        <f>K141</f>
        <v>49860</v>
      </c>
      <c r="P141" s="13">
        <f t="shared" si="19"/>
        <v>3051107</v>
      </c>
    </row>
    <row r="142" spans="1:16" ht="12.6" customHeight="1" x14ac:dyDescent="0.2">
      <c r="A142" s="41" t="s">
        <v>439</v>
      </c>
      <c r="B142" s="4" t="s">
        <v>437</v>
      </c>
      <c r="C142" s="4" t="s">
        <v>58</v>
      </c>
      <c r="D142" s="14" t="s">
        <v>441</v>
      </c>
      <c r="E142" s="11">
        <f t="shared" si="15"/>
        <v>5044280</v>
      </c>
      <c r="F142" s="12">
        <f>5051900-7620</f>
        <v>5044280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5044280</v>
      </c>
    </row>
    <row r="143" spans="1:16" hidden="1" x14ac:dyDescent="0.2">
      <c r="A143" s="41"/>
      <c r="B143" s="4"/>
      <c r="C143" s="4"/>
      <c r="D143" s="35" t="s">
        <v>138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x14ac:dyDescent="0.2">
      <c r="A144" s="36"/>
      <c r="B144" s="3"/>
      <c r="C144" s="3"/>
      <c r="D144" s="35" t="s">
        <v>519</v>
      </c>
      <c r="E144" s="10">
        <f>F144</f>
        <v>4000</v>
      </c>
      <c r="F144" s="17">
        <v>4000</v>
      </c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4000</v>
      </c>
    </row>
    <row r="145" spans="1:18" s="1" customFormat="1" ht="25.5" hidden="1" x14ac:dyDescent="0.2">
      <c r="A145" s="36"/>
      <c r="B145" s="3"/>
      <c r="C145" s="3"/>
      <c r="D145" s="35" t="s">
        <v>503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540</v>
      </c>
      <c r="B146" s="4" t="s">
        <v>528</v>
      </c>
      <c r="C146" s="4"/>
      <c r="D146" s="23" t="s">
        <v>543</v>
      </c>
      <c r="E146" s="10">
        <f t="shared" si="20"/>
        <v>0</v>
      </c>
      <c r="F146" s="11"/>
      <c r="G146" s="11"/>
      <c r="H146" s="11"/>
      <c r="I146" s="11"/>
      <c r="J146" s="11">
        <f t="shared" ref="J146:O146" si="21">J147+J151</f>
        <v>1505197</v>
      </c>
      <c r="K146" s="11"/>
      <c r="L146" s="11"/>
      <c r="M146" s="11"/>
      <c r="N146" s="11">
        <f t="shared" si="21"/>
        <v>0</v>
      </c>
      <c r="O146" s="11">
        <f t="shared" si="21"/>
        <v>1505197</v>
      </c>
      <c r="P146" s="16">
        <f t="shared" si="19"/>
        <v>1505197</v>
      </c>
    </row>
    <row r="147" spans="1:18" s="1" customFormat="1" ht="25.5" hidden="1" x14ac:dyDescent="0.2">
      <c r="A147" s="36" t="s">
        <v>551</v>
      </c>
      <c r="B147" s="3" t="s">
        <v>552</v>
      </c>
      <c r="C147" s="3" t="s">
        <v>169</v>
      </c>
      <c r="D147" s="78" t="s">
        <v>553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554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626</v>
      </c>
      <c r="B149" s="4" t="s">
        <v>453</v>
      </c>
      <c r="C149" s="4" t="s">
        <v>164</v>
      </c>
      <c r="D149" s="72" t="s">
        <v>452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519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541</v>
      </c>
      <c r="B151" s="3" t="s">
        <v>542</v>
      </c>
      <c r="C151" s="3" t="s">
        <v>169</v>
      </c>
      <c r="D151" s="77" t="s">
        <v>545</v>
      </c>
      <c r="E151" s="10">
        <f>F151</f>
        <v>0</v>
      </c>
      <c r="F151" s="17"/>
      <c r="G151" s="17"/>
      <c r="H151" s="17"/>
      <c r="I151" s="17"/>
      <c r="J151" s="11">
        <f t="shared" si="16"/>
        <v>1505197</v>
      </c>
      <c r="K151" s="12">
        <f>1162000+347197+46000-50000</f>
        <v>1505197</v>
      </c>
      <c r="L151" s="12"/>
      <c r="M151" s="12"/>
      <c r="N151" s="12"/>
      <c r="O151" s="12">
        <f>K151</f>
        <v>1505197</v>
      </c>
      <c r="P151" s="16">
        <f t="shared" si="19"/>
        <v>1505197</v>
      </c>
    </row>
    <row r="152" spans="1:18" s="1" customFormat="1" ht="25.5" x14ac:dyDescent="0.2">
      <c r="A152" s="36"/>
      <c r="B152" s="3"/>
      <c r="C152" s="3"/>
      <c r="D152" s="35" t="s">
        <v>546</v>
      </c>
      <c r="E152" s="10">
        <f>F152</f>
        <v>0</v>
      </c>
      <c r="F152" s="17"/>
      <c r="G152" s="17"/>
      <c r="H152" s="17"/>
      <c r="I152" s="17"/>
      <c r="J152" s="10">
        <f t="shared" si="16"/>
        <v>347197</v>
      </c>
      <c r="K152" s="17">
        <v>347197</v>
      </c>
      <c r="L152" s="17"/>
      <c r="M152" s="17"/>
      <c r="N152" s="17"/>
      <c r="O152" s="17">
        <f>K152</f>
        <v>347197</v>
      </c>
      <c r="P152" s="16">
        <f t="shared" si="19"/>
        <v>347197</v>
      </c>
    </row>
    <row r="153" spans="1:18" s="1" customFormat="1" hidden="1" x14ac:dyDescent="0.2">
      <c r="A153" s="36" t="s">
        <v>624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215</v>
      </c>
      <c r="B154" s="6"/>
      <c r="C154" s="7"/>
      <c r="D154" s="31" t="s">
        <v>59</v>
      </c>
      <c r="E154" s="25">
        <f>E156</f>
        <v>51094709</v>
      </c>
      <c r="F154" s="25">
        <f t="shared" ref="F154:P154" si="22">F156</f>
        <v>51094709</v>
      </c>
      <c r="G154" s="25">
        <f t="shared" si="22"/>
        <v>23015599</v>
      </c>
      <c r="H154" s="25">
        <f t="shared" si="22"/>
        <v>562497</v>
      </c>
      <c r="I154" s="25">
        <f t="shared" si="22"/>
        <v>0</v>
      </c>
      <c r="J154" s="25">
        <f t="shared" si="22"/>
        <v>5646447</v>
      </c>
      <c r="K154" s="25">
        <f>K156</f>
        <v>4990576</v>
      </c>
      <c r="L154" s="25">
        <f t="shared" si="22"/>
        <v>655871</v>
      </c>
      <c r="M154" s="25">
        <f t="shared" si="22"/>
        <v>38353</v>
      </c>
      <c r="N154" s="25">
        <f t="shared" si="22"/>
        <v>431800</v>
      </c>
      <c r="O154" s="25">
        <f t="shared" si="22"/>
        <v>4990576</v>
      </c>
      <c r="P154" s="25">
        <f t="shared" si="22"/>
        <v>56741156</v>
      </c>
      <c r="R154" s="34"/>
    </row>
    <row r="155" spans="1:18" s="1" customFormat="1" ht="38.25" x14ac:dyDescent="0.2">
      <c r="A155" s="36"/>
      <c r="B155" s="18"/>
      <c r="C155" s="3"/>
      <c r="D155" s="15" t="s">
        <v>47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3">J241</f>
        <v>1500000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17">
        <f t="shared" ref="P155:P173" si="24">E155+J155</f>
        <v>1500000</v>
      </c>
    </row>
    <row r="156" spans="1:18" ht="25.5" x14ac:dyDescent="0.2">
      <c r="A156" s="41" t="s">
        <v>272</v>
      </c>
      <c r="B156" s="8"/>
      <c r="C156" s="7"/>
      <c r="D156" s="15" t="s">
        <v>59</v>
      </c>
      <c r="E156" s="13">
        <f t="shared" ref="E156:E199" si="25">F156+I156</f>
        <v>51094709</v>
      </c>
      <c r="F156" s="25">
        <f>F157+F159+F161+F166+F168+F175+F176+F177+F178+F180+F182+F184+F186+F188+F190+F192+F196+F200+F202+F204+F206+F208+F210+F213+F215+F216+F218+F219+F221+F225+F227+F230+F231+F238+F242+F244+F240+F236+F223</f>
        <v>51094709</v>
      </c>
      <c r="G156" s="25">
        <f>G157+G159+G161+G166+G168+G175+G176+G177+G178+G180+G182+G184+G186+G188+G190+G192+G196+G200+G202+G204+G206+G208+G210+G213+G215+G216+G218+G219+G221+G225+G227+G230+G231+G238+G242+G244</f>
        <v>23015599</v>
      </c>
      <c r="H156" s="25">
        <f>H157+H159+H161+H166+H168+H175+H176+H177+H178+H180+H182+H184+H186+H188+H190+H192+H196+H200+H202+H204+H206+H208+H210+H213+H215+H216+H218+H219+H221+H225+H227+H230+H231+H238+H242+H244</f>
        <v>562497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5646447</v>
      </c>
      <c r="K156" s="25">
        <f>K157+K242+K240+K234+K236+K223</f>
        <v>4990576</v>
      </c>
      <c r="L156" s="25">
        <f>L215</f>
        <v>655871</v>
      </c>
      <c r="M156" s="25">
        <f>M215</f>
        <v>38353</v>
      </c>
      <c r="N156" s="25">
        <f>N215</f>
        <v>431800</v>
      </c>
      <c r="O156" s="25">
        <f>O157+O158+O165+O174+O179+O198+O212+O217+O220+O225+O227+O229+O231+O238+O240+O243+O233+O242+O234+O236+O223</f>
        <v>4990576</v>
      </c>
      <c r="P156" s="13">
        <f t="shared" si="24"/>
        <v>56741156</v>
      </c>
    </row>
    <row r="157" spans="1:18" ht="25.5" x14ac:dyDescent="0.2">
      <c r="A157" s="41" t="s">
        <v>273</v>
      </c>
      <c r="B157" s="4" t="s">
        <v>235</v>
      </c>
      <c r="C157" s="4" t="s">
        <v>163</v>
      </c>
      <c r="D157" s="14" t="s">
        <v>645</v>
      </c>
      <c r="E157" s="11">
        <f t="shared" si="25"/>
        <v>26029410</v>
      </c>
      <c r="F157" s="12">
        <f>25884200+55210+40000+50000</f>
        <v>26029410</v>
      </c>
      <c r="G157" s="12">
        <f>21310000-1367600</f>
        <v>19942400</v>
      </c>
      <c r="H157" s="12">
        <f>306600+55210+40000+50000</f>
        <v>451810</v>
      </c>
      <c r="I157" s="12"/>
      <c r="J157" s="11">
        <f t="shared" ref="J157:J199" si="26">L157+O157</f>
        <v>100000</v>
      </c>
      <c r="K157" s="12">
        <v>100000</v>
      </c>
      <c r="L157" s="12"/>
      <c r="M157" s="12"/>
      <c r="N157" s="12"/>
      <c r="O157" s="12">
        <f>K157</f>
        <v>100000</v>
      </c>
      <c r="P157" s="13">
        <f t="shared" si="24"/>
        <v>26129410</v>
      </c>
    </row>
    <row r="158" spans="1:18" ht="38.25" hidden="1" x14ac:dyDescent="0.2">
      <c r="A158" s="41" t="s">
        <v>274</v>
      </c>
      <c r="B158" s="8" t="s">
        <v>193</v>
      </c>
      <c r="C158" s="20"/>
      <c r="D158" s="5" t="s">
        <v>140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276</v>
      </c>
      <c r="B159" s="18" t="s">
        <v>82</v>
      </c>
      <c r="C159" s="79" t="s">
        <v>165</v>
      </c>
      <c r="D159" s="80" t="s">
        <v>275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461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277</v>
      </c>
      <c r="B161" s="18" t="s">
        <v>83</v>
      </c>
      <c r="C161" s="79" t="s">
        <v>103</v>
      </c>
      <c r="D161" s="19" t="s">
        <v>142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461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104</v>
      </c>
      <c r="C163" s="20" t="s">
        <v>103</v>
      </c>
      <c r="D163" s="5" t="s">
        <v>105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60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278</v>
      </c>
      <c r="B165" s="8" t="s">
        <v>194</v>
      </c>
      <c r="C165" s="20"/>
      <c r="D165" s="5" t="s">
        <v>143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280</v>
      </c>
      <c r="B166" s="18" t="s">
        <v>84</v>
      </c>
      <c r="C166" s="79" t="s">
        <v>165</v>
      </c>
      <c r="D166" s="15" t="s">
        <v>279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462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281</v>
      </c>
      <c r="B168" s="18" t="s">
        <v>85</v>
      </c>
      <c r="C168" s="79" t="s">
        <v>103</v>
      </c>
      <c r="D168" s="19" t="s">
        <v>144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462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283</v>
      </c>
      <c r="B170" s="18" t="s">
        <v>86</v>
      </c>
      <c r="C170" s="79" t="s">
        <v>103</v>
      </c>
      <c r="D170" s="19" t="s">
        <v>282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73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107</v>
      </c>
      <c r="C172" s="4" t="s">
        <v>103</v>
      </c>
      <c r="D172" s="23" t="s">
        <v>145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73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285</v>
      </c>
      <c r="B174" s="8" t="s">
        <v>199</v>
      </c>
      <c r="C174" s="4"/>
      <c r="D174" s="5" t="s">
        <v>284</v>
      </c>
      <c r="E174" s="11">
        <f>SUM(E175:E178)</f>
        <v>796200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796200</v>
      </c>
    </row>
    <row r="175" spans="1:16" x14ac:dyDescent="0.2">
      <c r="A175" s="41" t="s">
        <v>287</v>
      </c>
      <c r="B175" s="8" t="s">
        <v>200</v>
      </c>
      <c r="C175" s="4" t="s">
        <v>165</v>
      </c>
      <c r="D175" s="5" t="s">
        <v>286</v>
      </c>
      <c r="E175" s="11">
        <f>F175+I175</f>
        <v>184200</v>
      </c>
      <c r="F175" s="12">
        <v>184200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8">E175+J175</f>
        <v>184200</v>
      </c>
    </row>
    <row r="176" spans="1:16" x14ac:dyDescent="0.2">
      <c r="A176" s="41" t="s">
        <v>289</v>
      </c>
      <c r="B176" s="8" t="s">
        <v>288</v>
      </c>
      <c r="C176" s="4" t="s">
        <v>72</v>
      </c>
      <c r="D176" s="5" t="s">
        <v>202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291</v>
      </c>
      <c r="B177" s="8" t="s">
        <v>201</v>
      </c>
      <c r="C177" s="4" t="s">
        <v>72</v>
      </c>
      <c r="D177" s="5" t="s">
        <v>290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293</v>
      </c>
      <c r="B178" s="8" t="s">
        <v>292</v>
      </c>
      <c r="C178" s="4" t="s">
        <v>72</v>
      </c>
      <c r="D178" s="5" t="s">
        <v>203</v>
      </c>
      <c r="E178" s="11">
        <f>F178+I178</f>
        <v>600000</v>
      </c>
      <c r="F178" s="12">
        <v>600000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600000</v>
      </c>
    </row>
    <row r="179" spans="1:16" ht="25.5" hidden="1" x14ac:dyDescent="0.2">
      <c r="A179" s="41" t="s">
        <v>294</v>
      </c>
      <c r="B179" s="8" t="s">
        <v>195</v>
      </c>
      <c r="C179" s="20"/>
      <c r="D179" s="14" t="s">
        <v>466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296</v>
      </c>
      <c r="B180" s="8" t="s">
        <v>87</v>
      </c>
      <c r="C180" s="20" t="s">
        <v>51</v>
      </c>
      <c r="D180" s="5" t="s">
        <v>295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463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297</v>
      </c>
      <c r="B182" s="8" t="s">
        <v>88</v>
      </c>
      <c r="C182" s="20" t="s">
        <v>51</v>
      </c>
      <c r="D182" s="21" t="s">
        <v>150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463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298</v>
      </c>
      <c r="B184" s="8" t="s">
        <v>89</v>
      </c>
      <c r="C184" s="20" t="s">
        <v>51</v>
      </c>
      <c r="D184" s="21" t="s">
        <v>146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463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299</v>
      </c>
      <c r="B186" s="8" t="s">
        <v>90</v>
      </c>
      <c r="C186" s="20" t="s">
        <v>51</v>
      </c>
      <c r="D186" s="23" t="s">
        <v>147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463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300</v>
      </c>
      <c r="B188" s="8" t="s">
        <v>91</v>
      </c>
      <c r="C188" s="20" t="s">
        <v>51</v>
      </c>
      <c r="D188" s="5" t="s">
        <v>148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463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301</v>
      </c>
      <c r="B190" s="8" t="s">
        <v>92</v>
      </c>
      <c r="C190" s="20" t="s">
        <v>51</v>
      </c>
      <c r="D190" s="5" t="s">
        <v>149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463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302</v>
      </c>
      <c r="B192" s="8" t="s">
        <v>93</v>
      </c>
      <c r="C192" s="20" t="s">
        <v>51</v>
      </c>
      <c r="D192" s="47" t="s">
        <v>467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463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304</v>
      </c>
      <c r="B194" s="8" t="s">
        <v>94</v>
      </c>
      <c r="C194" s="20" t="s">
        <v>51</v>
      </c>
      <c r="D194" s="5" t="s">
        <v>303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463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305</v>
      </c>
      <c r="B196" s="8" t="s">
        <v>95</v>
      </c>
      <c r="C196" s="20" t="s">
        <v>51</v>
      </c>
      <c r="D196" s="5" t="s">
        <v>592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109</v>
      </c>
      <c r="D197" s="5" t="s">
        <v>463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306</v>
      </c>
      <c r="B198" s="8" t="s">
        <v>96</v>
      </c>
      <c r="C198" s="20"/>
      <c r="D198" s="5" t="s">
        <v>490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479</v>
      </c>
      <c r="B200" s="8" t="s">
        <v>474</v>
      </c>
      <c r="C200" s="20" t="s">
        <v>106</v>
      </c>
      <c r="D200" s="5" t="s">
        <v>484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463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480</v>
      </c>
      <c r="B202" s="8" t="s">
        <v>475</v>
      </c>
      <c r="C202" s="20" t="s">
        <v>106</v>
      </c>
      <c r="D202" s="5" t="s">
        <v>485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463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481</v>
      </c>
      <c r="B204" s="8" t="s">
        <v>476</v>
      </c>
      <c r="C204" s="20" t="s">
        <v>106</v>
      </c>
      <c r="D204" s="5" t="s">
        <v>486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463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482</v>
      </c>
      <c r="B206" s="8" t="s">
        <v>477</v>
      </c>
      <c r="C206" s="20" t="s">
        <v>106</v>
      </c>
      <c r="D206" s="5" t="s">
        <v>487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463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483</v>
      </c>
      <c r="B208" s="8" t="s">
        <v>478</v>
      </c>
      <c r="C208" s="20" t="s">
        <v>106</v>
      </c>
      <c r="D208" s="5" t="s">
        <v>488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463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589</v>
      </c>
      <c r="B210" s="8" t="s">
        <v>590</v>
      </c>
      <c r="C210" s="20" t="s">
        <v>51</v>
      </c>
      <c r="D210" s="5" t="s">
        <v>593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463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316</v>
      </c>
      <c r="B212" s="20" t="s">
        <v>197</v>
      </c>
      <c r="C212" s="20" t="s">
        <v>106</v>
      </c>
      <c r="D212" s="21" t="s">
        <v>442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601</v>
      </c>
      <c r="B213" s="20" t="s">
        <v>603</v>
      </c>
      <c r="C213" s="20" t="s">
        <v>51</v>
      </c>
      <c r="D213" s="21" t="s">
        <v>602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463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customHeight="1" x14ac:dyDescent="0.2">
      <c r="A215" s="107" t="s">
        <v>317</v>
      </c>
      <c r="B215" s="4" t="s">
        <v>98</v>
      </c>
      <c r="C215" s="4" t="s">
        <v>108</v>
      </c>
      <c r="D215" s="5" t="s">
        <v>315</v>
      </c>
      <c r="E215" s="11">
        <f>F215+I215</f>
        <v>2878817</v>
      </c>
      <c r="F215" s="12">
        <f>7807300-4878480-50003</f>
        <v>2878817</v>
      </c>
      <c r="G215" s="12">
        <f>5610000-3400000-14621</f>
        <v>2195379</v>
      </c>
      <c r="H215" s="12">
        <f>132000-61980-7161</f>
        <v>62859</v>
      </c>
      <c r="I215" s="12"/>
      <c r="J215" s="11">
        <f>L215+O215</f>
        <v>655871</v>
      </c>
      <c r="K215" s="12"/>
      <c r="L215" s="12">
        <v>655871</v>
      </c>
      <c r="M215" s="12">
        <v>38353</v>
      </c>
      <c r="N215" s="12">
        <v>431800</v>
      </c>
      <c r="O215" s="12">
        <f>K215</f>
        <v>0</v>
      </c>
      <c r="P215" s="13">
        <f t="shared" si="28"/>
        <v>3534688</v>
      </c>
    </row>
    <row r="216" spans="1:16" hidden="1" x14ac:dyDescent="0.2">
      <c r="A216" s="41" t="s">
        <v>318</v>
      </c>
      <c r="B216" s="4" t="s">
        <v>99</v>
      </c>
      <c r="C216" s="4" t="s">
        <v>106</v>
      </c>
      <c r="D216" s="5" t="s">
        <v>443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308</v>
      </c>
      <c r="B217" s="4" t="s">
        <v>307</v>
      </c>
      <c r="C217" s="4"/>
      <c r="D217" s="47" t="s">
        <v>63</v>
      </c>
      <c r="E217" s="11">
        <f t="shared" ref="E217:E235" si="30">F217+I217</f>
        <v>0</v>
      </c>
      <c r="F217" s="12"/>
      <c r="G217" s="12"/>
      <c r="H217" s="12"/>
      <c r="I217" s="12"/>
      <c r="J217" s="11">
        <f t="shared" ref="J217:J235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x14ac:dyDescent="0.2">
      <c r="A218" s="41" t="s">
        <v>310</v>
      </c>
      <c r="B218" s="20" t="s">
        <v>309</v>
      </c>
      <c r="C218" s="20" t="s">
        <v>51</v>
      </c>
      <c r="D218" s="14" t="s">
        <v>649</v>
      </c>
      <c r="E218" s="11">
        <f t="shared" si="30"/>
        <v>1122210</v>
      </c>
      <c r="F218" s="12">
        <f>2711600-1571149-18241</f>
        <v>1122210</v>
      </c>
      <c r="G218" s="12">
        <f>2086000-1206978-1202</f>
        <v>877820</v>
      </c>
      <c r="H218" s="12">
        <f>66600-13661-5111</f>
        <v>47828</v>
      </c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1122210</v>
      </c>
    </row>
    <row r="219" spans="1:16" hidden="1" x14ac:dyDescent="0.2">
      <c r="A219" s="41" t="s">
        <v>429</v>
      </c>
      <c r="B219" s="20" t="s">
        <v>428</v>
      </c>
      <c r="C219" s="20" t="s">
        <v>51</v>
      </c>
      <c r="D219" s="14" t="s">
        <v>430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>
        <f t="shared" ref="O219:O224" si="32">K219</f>
        <v>0</v>
      </c>
      <c r="P219" s="13">
        <f t="shared" ref="P219:P224" si="33">E219+J219</f>
        <v>0</v>
      </c>
    </row>
    <row r="220" spans="1:16" hidden="1" x14ac:dyDescent="0.2">
      <c r="A220" s="41" t="s">
        <v>311</v>
      </c>
      <c r="B220" s="20" t="s">
        <v>196</v>
      </c>
      <c r="C220" s="20"/>
      <c r="D220" s="23" t="s">
        <v>190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 t="shared" si="32"/>
        <v>0</v>
      </c>
      <c r="P220" s="13">
        <f t="shared" si="33"/>
        <v>0</v>
      </c>
    </row>
    <row r="221" spans="1:16" ht="15.75" hidden="1" x14ac:dyDescent="0.25">
      <c r="A221" s="41" t="s">
        <v>313</v>
      </c>
      <c r="B221" s="20" t="s">
        <v>312</v>
      </c>
      <c r="C221" s="20" t="s">
        <v>51</v>
      </c>
      <c r="D221" s="46" t="s">
        <v>183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>
        <f t="shared" si="32"/>
        <v>0</v>
      </c>
      <c r="P221" s="13">
        <f t="shared" si="33"/>
        <v>0</v>
      </c>
    </row>
    <row r="222" spans="1:16" hidden="1" x14ac:dyDescent="0.2">
      <c r="A222" s="41">
        <v>1513500</v>
      </c>
      <c r="B222" s="4" t="s">
        <v>71</v>
      </c>
      <c r="C222" s="4" t="s">
        <v>51</v>
      </c>
      <c r="D222" s="5" t="s">
        <v>177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>
        <f t="shared" si="32"/>
        <v>0</v>
      </c>
      <c r="P222" s="13">
        <f t="shared" si="33"/>
        <v>0</v>
      </c>
    </row>
    <row r="223" spans="1:16" ht="25.5" x14ac:dyDescent="0.2">
      <c r="A223" s="41" t="s">
        <v>694</v>
      </c>
      <c r="B223" s="4" t="s">
        <v>695</v>
      </c>
      <c r="C223" s="4" t="s">
        <v>51</v>
      </c>
      <c r="D223" s="5" t="s">
        <v>696</v>
      </c>
      <c r="E223" s="11">
        <f t="shared" si="30"/>
        <v>362699</v>
      </c>
      <c r="F223" s="12">
        <v>362699</v>
      </c>
      <c r="G223" s="12"/>
      <c r="H223" s="12"/>
      <c r="I223" s="12"/>
      <c r="J223" s="11">
        <f t="shared" si="31"/>
        <v>1500000</v>
      </c>
      <c r="K223" s="12">
        <v>1500000</v>
      </c>
      <c r="L223" s="12"/>
      <c r="M223" s="12"/>
      <c r="N223" s="12"/>
      <c r="O223" s="12">
        <f t="shared" si="32"/>
        <v>1500000</v>
      </c>
      <c r="P223" s="13">
        <f t="shared" si="33"/>
        <v>1862699</v>
      </c>
    </row>
    <row r="224" spans="1:16" s="1" customFormat="1" ht="38.25" x14ac:dyDescent="0.2">
      <c r="A224" s="36"/>
      <c r="B224" s="3"/>
      <c r="C224" s="3"/>
      <c r="D224" s="24" t="s">
        <v>47</v>
      </c>
      <c r="E224" s="10">
        <v>362699</v>
      </c>
      <c r="F224" s="17">
        <v>362699</v>
      </c>
      <c r="G224" s="17"/>
      <c r="H224" s="17"/>
      <c r="I224" s="17"/>
      <c r="J224" s="11">
        <f t="shared" si="31"/>
        <v>1500000</v>
      </c>
      <c r="K224" s="17">
        <v>1500000</v>
      </c>
      <c r="L224" s="17"/>
      <c r="M224" s="17"/>
      <c r="N224" s="17"/>
      <c r="O224" s="12">
        <f t="shared" si="32"/>
        <v>1500000</v>
      </c>
      <c r="P224" s="13">
        <f t="shared" si="33"/>
        <v>1862699</v>
      </c>
    </row>
    <row r="225" spans="1:16" ht="38.25" x14ac:dyDescent="0.2">
      <c r="A225" s="41" t="s">
        <v>314</v>
      </c>
      <c r="B225" s="20" t="s">
        <v>78</v>
      </c>
      <c r="C225" s="20" t="s">
        <v>51</v>
      </c>
      <c r="D225" s="21" t="s">
        <v>133</v>
      </c>
      <c r="E225" s="11">
        <f t="shared" si="30"/>
        <v>948000</v>
      </c>
      <c r="F225" s="12">
        <f>1000000-52000</f>
        <v>948000</v>
      </c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948000</v>
      </c>
    </row>
    <row r="226" spans="1:16" hidden="1" x14ac:dyDescent="0.2">
      <c r="A226" s="41"/>
      <c r="B226" s="20"/>
      <c r="C226" s="20"/>
      <c r="D226" s="21" t="s">
        <v>519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8"/>
        <v>0</v>
      </c>
    </row>
    <row r="227" spans="1:16" ht="39.75" customHeight="1" x14ac:dyDescent="0.2">
      <c r="A227" s="41" t="s">
        <v>319</v>
      </c>
      <c r="B227" s="4" t="s">
        <v>97</v>
      </c>
      <c r="C227" s="4" t="s">
        <v>106</v>
      </c>
      <c r="D227" s="5" t="s">
        <v>444</v>
      </c>
      <c r="E227" s="11">
        <f t="shared" si="30"/>
        <v>1280000</v>
      </c>
      <c r="F227" s="12">
        <f>1250000+30000</f>
        <v>1280000</v>
      </c>
      <c r="G227" s="12"/>
      <c r="H227" s="12"/>
      <c r="I227" s="12">
        <f>SUM(I228)</f>
        <v>0</v>
      </c>
      <c r="J227" s="11">
        <f t="shared" si="31"/>
        <v>0</v>
      </c>
      <c r="K227" s="12"/>
      <c r="L227" s="12"/>
      <c r="M227" s="12"/>
      <c r="N227" s="12"/>
      <c r="O227" s="12">
        <f>SUM(O228)</f>
        <v>0</v>
      </c>
      <c r="P227" s="13">
        <f t="shared" si="28"/>
        <v>1280000</v>
      </c>
    </row>
    <row r="228" spans="1:16" ht="25.5" hidden="1" customHeight="1" x14ac:dyDescent="0.2">
      <c r="A228" s="41" t="s">
        <v>445</v>
      </c>
      <c r="B228" s="4" t="s">
        <v>320</v>
      </c>
      <c r="C228" s="4" t="s">
        <v>106</v>
      </c>
      <c r="D228" s="5" t="s">
        <v>315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6" hidden="1" x14ac:dyDescent="0.2">
      <c r="A229" s="41" t="s">
        <v>446</v>
      </c>
      <c r="B229" s="4" t="s">
        <v>447</v>
      </c>
      <c r="C229" s="4"/>
      <c r="D229" s="5" t="s">
        <v>67</v>
      </c>
      <c r="E229" s="11">
        <f>E230</f>
        <v>600000</v>
      </c>
      <c r="F229" s="11"/>
      <c r="G229" s="11"/>
      <c r="H229" s="11"/>
      <c r="I229" s="11">
        <f t="shared" ref="I229:O229" si="34">I230</f>
        <v>0</v>
      </c>
      <c r="J229" s="11">
        <f t="shared" si="34"/>
        <v>0</v>
      </c>
      <c r="K229" s="11"/>
      <c r="L229" s="11"/>
      <c r="M229" s="11"/>
      <c r="N229" s="11"/>
      <c r="O229" s="11">
        <f t="shared" si="34"/>
        <v>0</v>
      </c>
      <c r="P229" s="13">
        <f t="shared" si="28"/>
        <v>600000</v>
      </c>
    </row>
    <row r="230" spans="1:16" ht="25.5" x14ac:dyDescent="0.2">
      <c r="A230" s="41" t="s">
        <v>448</v>
      </c>
      <c r="B230" s="4" t="s">
        <v>449</v>
      </c>
      <c r="C230" s="4" t="s">
        <v>165</v>
      </c>
      <c r="D230" s="5" t="s">
        <v>650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600000</v>
      </c>
    </row>
    <row r="231" spans="1:16" x14ac:dyDescent="0.2">
      <c r="A231" s="41" t="s">
        <v>450</v>
      </c>
      <c r="B231" s="20" t="s">
        <v>451</v>
      </c>
      <c r="C231" s="20" t="s">
        <v>65</v>
      </c>
      <c r="D231" s="14" t="s">
        <v>66</v>
      </c>
      <c r="E231" s="11">
        <f t="shared" si="30"/>
        <v>200000</v>
      </c>
      <c r="F231" s="12">
        <v>200000</v>
      </c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/>
      <c r="P231" s="13">
        <f t="shared" si="28"/>
        <v>200000</v>
      </c>
    </row>
    <row r="232" spans="1:16" hidden="1" x14ac:dyDescent="0.2">
      <c r="A232" s="41">
        <v>1518600</v>
      </c>
      <c r="B232" s="8" t="s">
        <v>75</v>
      </c>
      <c r="C232" s="4" t="s">
        <v>176</v>
      </c>
      <c r="D232" s="5" t="s">
        <v>177</v>
      </c>
      <c r="E232" s="11">
        <f t="shared" si="30"/>
        <v>0</v>
      </c>
      <c r="F232" s="12"/>
      <c r="G232" s="12"/>
      <c r="H232" s="12"/>
      <c r="I232" s="12"/>
      <c r="J232" s="11">
        <f t="shared" si="31"/>
        <v>0</v>
      </c>
      <c r="K232" s="12"/>
      <c r="L232" s="12"/>
      <c r="M232" s="12"/>
      <c r="N232" s="12"/>
      <c r="O232" s="12"/>
      <c r="P232" s="13">
        <f t="shared" si="28"/>
        <v>0</v>
      </c>
    </row>
    <row r="233" spans="1:16" ht="25.5" hidden="1" x14ac:dyDescent="0.2">
      <c r="A233" s="41" t="s">
        <v>556</v>
      </c>
      <c r="B233" s="8" t="s">
        <v>557</v>
      </c>
      <c r="C233" s="4"/>
      <c r="D233" s="5" t="s">
        <v>560</v>
      </c>
      <c r="E233" s="11">
        <f t="shared" si="30"/>
        <v>0</v>
      </c>
      <c r="F233" s="12"/>
      <c r="G233" s="12"/>
      <c r="H233" s="12"/>
      <c r="I233" s="12"/>
      <c r="J233" s="11">
        <f t="shared" si="31"/>
        <v>0</v>
      </c>
      <c r="K233" s="12"/>
      <c r="L233" s="12"/>
      <c r="M233" s="12"/>
      <c r="N233" s="12"/>
      <c r="O233" s="12">
        <f>K233</f>
        <v>0</v>
      </c>
      <c r="P233" s="13">
        <f t="shared" si="28"/>
        <v>0</v>
      </c>
    </row>
    <row r="234" spans="1:16" ht="102" x14ac:dyDescent="0.2">
      <c r="A234" s="41" t="s">
        <v>558</v>
      </c>
      <c r="B234" s="8" t="s">
        <v>559</v>
      </c>
      <c r="C234" s="4" t="s">
        <v>103</v>
      </c>
      <c r="D234" s="5" t="s">
        <v>561</v>
      </c>
      <c r="E234" s="11">
        <f t="shared" si="30"/>
        <v>0</v>
      </c>
      <c r="F234" s="12"/>
      <c r="G234" s="12"/>
      <c r="H234" s="12"/>
      <c r="I234" s="12"/>
      <c r="J234" s="11">
        <f t="shared" si="31"/>
        <v>1000569</v>
      </c>
      <c r="K234" s="12">
        <v>1000569</v>
      </c>
      <c r="L234" s="12"/>
      <c r="M234" s="12"/>
      <c r="N234" s="12"/>
      <c r="O234" s="12">
        <f>K234</f>
        <v>1000569</v>
      </c>
      <c r="P234" s="13">
        <f t="shared" si="28"/>
        <v>1000569</v>
      </c>
    </row>
    <row r="235" spans="1:16" s="1" customFormat="1" ht="115.5" customHeight="1" x14ac:dyDescent="0.2">
      <c r="A235" s="36"/>
      <c r="B235" s="18"/>
      <c r="C235" s="3"/>
      <c r="D235" s="24" t="s">
        <v>562</v>
      </c>
      <c r="E235" s="10">
        <f t="shared" si="30"/>
        <v>0</v>
      </c>
      <c r="F235" s="17"/>
      <c r="G235" s="17"/>
      <c r="H235" s="17"/>
      <c r="I235" s="17"/>
      <c r="J235" s="10">
        <f t="shared" si="31"/>
        <v>1000569</v>
      </c>
      <c r="K235" s="17">
        <v>1000569</v>
      </c>
      <c r="L235" s="17"/>
      <c r="M235" s="17"/>
      <c r="N235" s="17"/>
      <c r="O235" s="17">
        <f>K235</f>
        <v>1000569</v>
      </c>
      <c r="P235" s="16">
        <f t="shared" si="28"/>
        <v>1000569</v>
      </c>
    </row>
    <row r="236" spans="1:16" ht="165.75" x14ac:dyDescent="0.2">
      <c r="A236" s="41" t="s">
        <v>29</v>
      </c>
      <c r="B236" s="8" t="s">
        <v>30</v>
      </c>
      <c r="C236" s="4" t="s">
        <v>103</v>
      </c>
      <c r="D236" s="5" t="s">
        <v>31</v>
      </c>
      <c r="E236" s="11">
        <f t="shared" ref="E236:E242" si="35">F236+I236</f>
        <v>0</v>
      </c>
      <c r="F236" s="12"/>
      <c r="G236" s="12"/>
      <c r="H236" s="12"/>
      <c r="I236" s="12"/>
      <c r="J236" s="11">
        <f>L236+O236</f>
        <v>1926107</v>
      </c>
      <c r="K236" s="12">
        <v>1926107</v>
      </c>
      <c r="L236" s="12"/>
      <c r="M236" s="12"/>
      <c r="N236" s="12"/>
      <c r="O236" s="12">
        <f>K236</f>
        <v>1926107</v>
      </c>
      <c r="P236" s="13">
        <f>E236+J236</f>
        <v>1926107</v>
      </c>
    </row>
    <row r="237" spans="1:16" s="1" customFormat="1" ht="168" customHeight="1" x14ac:dyDescent="0.2">
      <c r="A237" s="36"/>
      <c r="B237" s="18"/>
      <c r="C237" s="3"/>
      <c r="D237" s="24" t="s">
        <v>32</v>
      </c>
      <c r="E237" s="10">
        <f t="shared" si="35"/>
        <v>0</v>
      </c>
      <c r="F237" s="17"/>
      <c r="G237" s="17"/>
      <c r="H237" s="17"/>
      <c r="I237" s="17"/>
      <c r="J237" s="10">
        <f>L237+O237</f>
        <v>1926107</v>
      </c>
      <c r="K237" s="17">
        <v>1926107</v>
      </c>
      <c r="L237" s="17"/>
      <c r="M237" s="17"/>
      <c r="N237" s="17"/>
      <c r="O237" s="17">
        <f>K237</f>
        <v>1926107</v>
      </c>
      <c r="P237" s="16">
        <f>E237+J237</f>
        <v>1926107</v>
      </c>
    </row>
    <row r="238" spans="1:16" ht="89.25" hidden="1" x14ac:dyDescent="0.2">
      <c r="A238" s="41" t="s">
        <v>489</v>
      </c>
      <c r="B238" s="20" t="s">
        <v>473</v>
      </c>
      <c r="C238" s="20" t="s">
        <v>51</v>
      </c>
      <c r="D238" s="5" t="s">
        <v>591</v>
      </c>
      <c r="E238" s="11">
        <f t="shared" si="35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8"/>
        <v>0</v>
      </c>
    </row>
    <row r="239" spans="1:16" s="1" customFormat="1" ht="90" hidden="1" customHeight="1" x14ac:dyDescent="0.2">
      <c r="A239" s="36"/>
      <c r="B239" s="18"/>
      <c r="C239" s="22"/>
      <c r="D239" s="24" t="s">
        <v>594</v>
      </c>
      <c r="E239" s="10">
        <f t="shared" si="35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8"/>
        <v>0</v>
      </c>
    </row>
    <row r="240" spans="1:16" ht="25.5" x14ac:dyDescent="0.2">
      <c r="A240" s="41" t="s">
        <v>684</v>
      </c>
      <c r="B240" s="4" t="s">
        <v>685</v>
      </c>
      <c r="C240" s="4" t="s">
        <v>164</v>
      </c>
      <c r="D240" s="102" t="s">
        <v>686</v>
      </c>
      <c r="E240" s="11">
        <f t="shared" si="35"/>
        <v>10553073</v>
      </c>
      <c r="F240" s="12">
        <f>3742700+6449629+362699+92500+68244+200000-362699</f>
        <v>10553073</v>
      </c>
      <c r="G240" s="12"/>
      <c r="H240" s="12"/>
      <c r="I240" s="12"/>
      <c r="J240" s="11">
        <f>L240+O240</f>
        <v>143900</v>
      </c>
      <c r="K240" s="12">
        <f>50000+1500000+93900-1500000</f>
        <v>143900</v>
      </c>
      <c r="L240" s="12"/>
      <c r="M240" s="12"/>
      <c r="N240" s="12"/>
      <c r="O240" s="12">
        <f>K240</f>
        <v>143900</v>
      </c>
      <c r="P240" s="13">
        <f t="shared" si="28"/>
        <v>10696973</v>
      </c>
    </row>
    <row r="241" spans="1:18" s="1" customFormat="1" ht="38.25" hidden="1" x14ac:dyDescent="0.2">
      <c r="A241" s="36"/>
      <c r="B241" s="3"/>
      <c r="C241" s="3"/>
      <c r="D241" s="15" t="s">
        <v>47</v>
      </c>
      <c r="E241" s="10">
        <f t="shared" si="35"/>
        <v>0</v>
      </c>
      <c r="F241" s="17"/>
      <c r="G241" s="17"/>
      <c r="H241" s="17"/>
      <c r="I241" s="17"/>
      <c r="J241" s="10">
        <v>1500000</v>
      </c>
      <c r="K241" s="17"/>
      <c r="L241" s="17"/>
      <c r="M241" s="17"/>
      <c r="N241" s="17"/>
      <c r="O241" s="17">
        <f>K241</f>
        <v>0</v>
      </c>
      <c r="P241" s="16">
        <f>E241+J241</f>
        <v>1500000</v>
      </c>
    </row>
    <row r="242" spans="1:18" x14ac:dyDescent="0.2">
      <c r="A242" s="41" t="s">
        <v>454</v>
      </c>
      <c r="B242" s="4" t="s">
        <v>453</v>
      </c>
      <c r="C242" s="4" t="s">
        <v>164</v>
      </c>
      <c r="D242" s="72" t="s">
        <v>452</v>
      </c>
      <c r="E242" s="11">
        <f t="shared" si="35"/>
        <v>6254300</v>
      </c>
      <c r="F242" s="12">
        <f>6232300-200000+90000+132000</f>
        <v>6254300</v>
      </c>
      <c r="G242" s="12"/>
      <c r="H242" s="12"/>
      <c r="I242" s="12"/>
      <c r="J242" s="11">
        <f>L242+O242</f>
        <v>320000</v>
      </c>
      <c r="K242" s="12">
        <v>320000</v>
      </c>
      <c r="L242" s="12"/>
      <c r="M242" s="12"/>
      <c r="N242" s="12"/>
      <c r="O242" s="12">
        <f>K242</f>
        <v>320000</v>
      </c>
      <c r="P242" s="13">
        <f t="shared" si="28"/>
        <v>6574300</v>
      </c>
    </row>
    <row r="243" spans="1:18" hidden="1" x14ac:dyDescent="0.2">
      <c r="A243" s="41" t="s">
        <v>497</v>
      </c>
      <c r="B243" s="4" t="s">
        <v>228</v>
      </c>
      <c r="C243" s="4"/>
      <c r="D243" s="82" t="s">
        <v>230</v>
      </c>
      <c r="E243" s="11">
        <f>E244</f>
        <v>70000</v>
      </c>
      <c r="F243" s="11"/>
      <c r="G243" s="11"/>
      <c r="H243" s="11"/>
      <c r="I243" s="11">
        <f t="shared" ref="I243:O243" si="36">I244</f>
        <v>0</v>
      </c>
      <c r="J243" s="11">
        <f t="shared" si="36"/>
        <v>0</v>
      </c>
      <c r="K243" s="11">
        <f>K244</f>
        <v>0</v>
      </c>
      <c r="L243" s="11">
        <f t="shared" si="36"/>
        <v>0</v>
      </c>
      <c r="M243" s="11">
        <f t="shared" si="36"/>
        <v>0</v>
      </c>
      <c r="N243" s="11">
        <f t="shared" si="36"/>
        <v>0</v>
      </c>
      <c r="O243" s="11">
        <f t="shared" si="36"/>
        <v>0</v>
      </c>
      <c r="P243" s="13">
        <f t="shared" si="28"/>
        <v>70000</v>
      </c>
    </row>
    <row r="244" spans="1:18" x14ac:dyDescent="0.2">
      <c r="A244" s="41" t="s">
        <v>498</v>
      </c>
      <c r="B244" s="4" t="s">
        <v>232</v>
      </c>
      <c r="C244" s="4" t="s">
        <v>169</v>
      </c>
      <c r="D244" s="82" t="s">
        <v>233</v>
      </c>
      <c r="E244" s="11">
        <f>F244+I244</f>
        <v>70000</v>
      </c>
      <c r="F244" s="12">
        <v>70000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8"/>
        <v>70000</v>
      </c>
    </row>
    <row r="245" spans="1:18" x14ac:dyDescent="0.2">
      <c r="A245" s="62" t="s">
        <v>216</v>
      </c>
      <c r="B245" s="6"/>
      <c r="C245" s="7"/>
      <c r="D245" s="31" t="s">
        <v>111</v>
      </c>
      <c r="E245" s="25">
        <f>E246</f>
        <v>4881400</v>
      </c>
      <c r="F245" s="25">
        <f t="shared" ref="F245:O245" si="37">F246</f>
        <v>4881400</v>
      </c>
      <c r="G245" s="25">
        <f t="shared" si="37"/>
        <v>3168000</v>
      </c>
      <c r="H245" s="25">
        <f t="shared" si="37"/>
        <v>51500</v>
      </c>
      <c r="I245" s="25">
        <f t="shared" si="37"/>
        <v>0</v>
      </c>
      <c r="J245" s="25">
        <f t="shared" si="37"/>
        <v>2400000</v>
      </c>
      <c r="K245" s="25">
        <f>K246</f>
        <v>2400000</v>
      </c>
      <c r="L245" s="25">
        <f t="shared" si="37"/>
        <v>0</v>
      </c>
      <c r="M245" s="25">
        <f t="shared" si="37"/>
        <v>0</v>
      </c>
      <c r="N245" s="25">
        <f t="shared" si="37"/>
        <v>0</v>
      </c>
      <c r="O245" s="25">
        <f t="shared" si="37"/>
        <v>2400000</v>
      </c>
      <c r="P245" s="13">
        <f t="shared" si="28"/>
        <v>7281400</v>
      </c>
      <c r="R245" s="34"/>
    </row>
    <row r="246" spans="1:18" x14ac:dyDescent="0.2">
      <c r="A246" s="41" t="s">
        <v>321</v>
      </c>
      <c r="B246" s="8"/>
      <c r="C246" s="7"/>
      <c r="D246" s="15" t="s">
        <v>111</v>
      </c>
      <c r="E246" s="25">
        <f>E247+E250+E249</f>
        <v>4881400</v>
      </c>
      <c r="F246" s="25">
        <f>F247+F249+F248+F250</f>
        <v>4881400</v>
      </c>
      <c r="G246" s="25">
        <f t="shared" ref="G246:O246" si="38">G247+G249+G248</f>
        <v>3168000</v>
      </c>
      <c r="H246" s="25">
        <f t="shared" si="38"/>
        <v>51500</v>
      </c>
      <c r="I246" s="25">
        <f t="shared" si="38"/>
        <v>0</v>
      </c>
      <c r="J246" s="25">
        <f t="shared" si="38"/>
        <v>2400000</v>
      </c>
      <c r="K246" s="25">
        <f>K247+K249+K248</f>
        <v>2400000</v>
      </c>
      <c r="L246" s="25">
        <f t="shared" si="38"/>
        <v>0</v>
      </c>
      <c r="M246" s="25">
        <f t="shared" si="38"/>
        <v>0</v>
      </c>
      <c r="N246" s="25">
        <f t="shared" si="38"/>
        <v>0</v>
      </c>
      <c r="O246" s="25">
        <f t="shared" si="38"/>
        <v>2400000</v>
      </c>
      <c r="P246" s="25">
        <f>P247+P249+P248+P250+P249</f>
        <v>10281400</v>
      </c>
    </row>
    <row r="247" spans="1:18" ht="25.5" x14ac:dyDescent="0.2">
      <c r="A247" s="41" t="s">
        <v>322</v>
      </c>
      <c r="B247" s="4" t="s">
        <v>235</v>
      </c>
      <c r="C247" s="4" t="s">
        <v>163</v>
      </c>
      <c r="D247" s="14" t="s">
        <v>645</v>
      </c>
      <c r="E247" s="11">
        <f>F247+I247</f>
        <v>4131400</v>
      </c>
      <c r="F247" s="12">
        <f>3777900+3500+350000</f>
        <v>4131400</v>
      </c>
      <c r="G247" s="12">
        <f>2868000+300000</f>
        <v>3168000</v>
      </c>
      <c r="H247" s="12">
        <f>48000+3500</f>
        <v>51500</v>
      </c>
      <c r="I247" s="12"/>
      <c r="J247" s="11">
        <f>L247+O247</f>
        <v>0</v>
      </c>
      <c r="K247" s="12"/>
      <c r="L247" s="12"/>
      <c r="M247" s="12"/>
      <c r="N247" s="12"/>
      <c r="O247" s="12">
        <f>K247</f>
        <v>0</v>
      </c>
      <c r="P247" s="13">
        <f t="shared" ref="P247:P264" si="39">E247+J247</f>
        <v>4131400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9"/>
        <v>0</v>
      </c>
    </row>
    <row r="249" spans="1:18" ht="38.25" x14ac:dyDescent="0.2">
      <c r="A249" s="107" t="s">
        <v>3</v>
      </c>
      <c r="B249" s="8" t="s">
        <v>4</v>
      </c>
      <c r="C249" s="4" t="s">
        <v>51</v>
      </c>
      <c r="D249" s="106" t="s">
        <v>5</v>
      </c>
      <c r="E249" s="11">
        <f>F249+I249</f>
        <v>600000</v>
      </c>
      <c r="F249" s="11">
        <f>100000+100000+400000</f>
        <v>600000</v>
      </c>
      <c r="G249" s="11"/>
      <c r="H249" s="11"/>
      <c r="I249" s="11">
        <f t="shared" ref="I249:N249" si="40">I250</f>
        <v>0</v>
      </c>
      <c r="J249" s="11">
        <f>L249+O249</f>
        <v>2400000</v>
      </c>
      <c r="K249" s="11">
        <v>2400000</v>
      </c>
      <c r="L249" s="11">
        <f t="shared" si="40"/>
        <v>0</v>
      </c>
      <c r="M249" s="11">
        <f t="shared" si="40"/>
        <v>0</v>
      </c>
      <c r="N249" s="11">
        <f t="shared" si="40"/>
        <v>0</v>
      </c>
      <c r="O249" s="11">
        <f>K249</f>
        <v>2400000</v>
      </c>
      <c r="P249" s="13">
        <f t="shared" si="39"/>
        <v>3000000</v>
      </c>
    </row>
    <row r="250" spans="1:18" ht="15.75" x14ac:dyDescent="0.25">
      <c r="A250" s="41" t="s">
        <v>323</v>
      </c>
      <c r="B250" s="8" t="s">
        <v>210</v>
      </c>
      <c r="C250" s="4" t="s">
        <v>51</v>
      </c>
      <c r="D250" s="46" t="s">
        <v>209</v>
      </c>
      <c r="E250" s="11">
        <f>F250</f>
        <v>150000</v>
      </c>
      <c r="F250" s="12">
        <v>150000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9"/>
        <v>150000</v>
      </c>
    </row>
    <row r="251" spans="1:18" ht="25.5" x14ac:dyDescent="0.2">
      <c r="A251" s="62">
        <v>1000000</v>
      </c>
      <c r="B251" s="6"/>
      <c r="C251" s="7"/>
      <c r="D251" s="31" t="s">
        <v>643</v>
      </c>
      <c r="E251" s="25">
        <f>E253</f>
        <v>52850800</v>
      </c>
      <c r="F251" s="25">
        <f t="shared" ref="F251:O251" si="41">F253</f>
        <v>52850800</v>
      </c>
      <c r="G251" s="25">
        <f t="shared" si="41"/>
        <v>35192000</v>
      </c>
      <c r="H251" s="25">
        <f t="shared" si="41"/>
        <v>4692100</v>
      </c>
      <c r="I251" s="25">
        <f t="shared" si="41"/>
        <v>0</v>
      </c>
      <c r="J251" s="25">
        <f t="shared" si="41"/>
        <v>7945400</v>
      </c>
      <c r="K251" s="25">
        <f>K253</f>
        <v>4761000</v>
      </c>
      <c r="L251" s="25">
        <f t="shared" si="41"/>
        <v>3184400</v>
      </c>
      <c r="M251" s="25">
        <f t="shared" si="41"/>
        <v>1649600</v>
      </c>
      <c r="N251" s="25">
        <f t="shared" si="41"/>
        <v>0</v>
      </c>
      <c r="O251" s="25">
        <f t="shared" si="41"/>
        <v>4761000</v>
      </c>
      <c r="P251" s="13">
        <f t="shared" si="39"/>
        <v>60796200</v>
      </c>
      <c r="R251" s="34"/>
    </row>
    <row r="252" spans="1:18" hidden="1" x14ac:dyDescent="0.2">
      <c r="A252" s="62"/>
      <c r="B252" s="6"/>
      <c r="C252" s="7"/>
      <c r="D252" s="35" t="s">
        <v>519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2">K256</f>
        <v>0</v>
      </c>
      <c r="L252" s="17">
        <f t="shared" si="42"/>
        <v>0</v>
      </c>
      <c r="M252" s="17">
        <f t="shared" si="42"/>
        <v>0</v>
      </c>
      <c r="N252" s="17">
        <f t="shared" si="42"/>
        <v>0</v>
      </c>
      <c r="O252" s="17">
        <f t="shared" si="42"/>
        <v>0</v>
      </c>
      <c r="P252" s="32">
        <f t="shared" si="42"/>
        <v>0</v>
      </c>
    </row>
    <row r="253" spans="1:18" ht="15.75" customHeight="1" x14ac:dyDescent="0.2">
      <c r="A253" s="41" t="s">
        <v>324</v>
      </c>
      <c r="B253" s="8"/>
      <c r="C253" s="7"/>
      <c r="D253" s="15" t="s">
        <v>643</v>
      </c>
      <c r="E253" s="25">
        <f>E254+E255+E258+E260+E261+E263+E264+E257</f>
        <v>52850800</v>
      </c>
      <c r="F253" s="25">
        <f>F254+F255+F258+F260+F261+F263+F264+F257</f>
        <v>52850800</v>
      </c>
      <c r="G253" s="25">
        <f>G254+G255+G258+G260+G261+G263+G264</f>
        <v>35192000</v>
      </c>
      <c r="H253" s="25">
        <f>H254+H255+H258+H260+H261+H263+H264</f>
        <v>4692100</v>
      </c>
      <c r="I253" s="25">
        <f>SUM(I254:I262)</f>
        <v>0</v>
      </c>
      <c r="J253" s="25">
        <f t="shared" ref="J253:O253" si="43">J254+J255+J258+J260+J261+J263+J264</f>
        <v>7945400</v>
      </c>
      <c r="K253" s="25">
        <f t="shared" si="43"/>
        <v>4761000</v>
      </c>
      <c r="L253" s="25">
        <f t="shared" si="43"/>
        <v>3184400</v>
      </c>
      <c r="M253" s="25">
        <f t="shared" si="43"/>
        <v>1649600</v>
      </c>
      <c r="N253" s="25">
        <f t="shared" si="43"/>
        <v>0</v>
      </c>
      <c r="O253" s="25">
        <f t="shared" si="43"/>
        <v>4761000</v>
      </c>
      <c r="P253" s="13">
        <f t="shared" si="39"/>
        <v>60796200</v>
      </c>
    </row>
    <row r="254" spans="1:18" ht="25.5" x14ac:dyDescent="0.2">
      <c r="A254" s="41" t="s">
        <v>325</v>
      </c>
      <c r="B254" s="4" t="s">
        <v>235</v>
      </c>
      <c r="C254" s="4" t="s">
        <v>163</v>
      </c>
      <c r="D254" s="14" t="s">
        <v>645</v>
      </c>
      <c r="E254" s="11">
        <f t="shared" ref="E254:E264" si="44">F254+I254</f>
        <v>2178800</v>
      </c>
      <c r="F254" s="12">
        <f>2429800-51000-200000</f>
        <v>2178800</v>
      </c>
      <c r="G254" s="12">
        <f>1065000+675600-160000</f>
        <v>1580600</v>
      </c>
      <c r="H254" s="12"/>
      <c r="I254" s="12"/>
      <c r="J254" s="11">
        <f t="shared" ref="J254:J264" si="45">L254+O254</f>
        <v>160700</v>
      </c>
      <c r="K254" s="12">
        <f>109700+51000</f>
        <v>160700</v>
      </c>
      <c r="L254" s="12"/>
      <c r="M254" s="12"/>
      <c r="N254" s="12"/>
      <c r="O254" s="12">
        <f t="shared" ref="O254:O264" si="46">K254</f>
        <v>160700</v>
      </c>
      <c r="P254" s="13">
        <f t="shared" si="39"/>
        <v>2339500</v>
      </c>
    </row>
    <row r="255" spans="1:18" x14ac:dyDescent="0.2">
      <c r="A255" s="41" t="s">
        <v>683</v>
      </c>
      <c r="B255" s="98" t="s">
        <v>659</v>
      </c>
      <c r="C255" s="20" t="s">
        <v>181</v>
      </c>
      <c r="D255" s="5" t="s">
        <v>618</v>
      </c>
      <c r="E255" s="11">
        <f>F255+I255</f>
        <v>22253700</v>
      </c>
      <c r="F255" s="12">
        <f>22593700-340000</f>
        <v>22253700</v>
      </c>
      <c r="G255" s="12">
        <f>17326700-280000</f>
        <v>17046700</v>
      </c>
      <c r="H255" s="12">
        <f>1090000-61900+24200+220000</f>
        <v>1272300</v>
      </c>
      <c r="I255" s="12"/>
      <c r="J255" s="11">
        <f>L255+O255</f>
        <v>2220000</v>
      </c>
      <c r="K255" s="12"/>
      <c r="L255" s="12">
        <v>2220000</v>
      </c>
      <c r="M255" s="12">
        <v>1500000</v>
      </c>
      <c r="N255" s="12"/>
      <c r="O255" s="12">
        <f t="shared" si="46"/>
        <v>0</v>
      </c>
      <c r="P255" s="13">
        <f t="shared" si="39"/>
        <v>24473700</v>
      </c>
    </row>
    <row r="256" spans="1:18" s="1" customFormat="1" hidden="1" x14ac:dyDescent="0.2">
      <c r="A256" s="36"/>
      <c r="B256" s="22"/>
      <c r="C256" s="22"/>
      <c r="D256" s="35" t="s">
        <v>519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678</v>
      </c>
      <c r="B257" s="20" t="s">
        <v>312</v>
      </c>
      <c r="C257" s="8" t="s">
        <v>51</v>
      </c>
      <c r="D257" s="47" t="s">
        <v>183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328</v>
      </c>
      <c r="B258" s="20" t="s">
        <v>327</v>
      </c>
      <c r="C258" s="20" t="s">
        <v>112</v>
      </c>
      <c r="D258" s="5" t="s">
        <v>326</v>
      </c>
      <c r="E258" s="11">
        <f t="shared" si="44"/>
        <v>6904500</v>
      </c>
      <c r="F258" s="12">
        <f>6794100+2400+8000+100000</f>
        <v>6904500</v>
      </c>
      <c r="G258" s="12">
        <v>4976700</v>
      </c>
      <c r="H258" s="12">
        <f>480000+2400+8000+100000</f>
        <v>590400</v>
      </c>
      <c r="I258" s="12"/>
      <c r="J258" s="11">
        <f t="shared" si="45"/>
        <v>160000</v>
      </c>
      <c r="K258" s="12">
        <v>100000</v>
      </c>
      <c r="L258" s="12">
        <v>60000</v>
      </c>
      <c r="M258" s="12"/>
      <c r="N258" s="12"/>
      <c r="O258" s="17">
        <f>K258</f>
        <v>100000</v>
      </c>
      <c r="P258" s="13">
        <f t="shared" si="39"/>
        <v>7064500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331</v>
      </c>
      <c r="B260" s="4" t="s">
        <v>330</v>
      </c>
      <c r="C260" s="4" t="s">
        <v>112</v>
      </c>
      <c r="D260" s="14" t="s">
        <v>329</v>
      </c>
      <c r="E260" s="11">
        <f>F260+I260</f>
        <v>4182800</v>
      </c>
      <c r="F260" s="12">
        <f>4182600+200</f>
        <v>4182800</v>
      </c>
      <c r="G260" s="12">
        <v>3003900</v>
      </c>
      <c r="H260" s="12">
        <f>307800+200</f>
        <v>308000</v>
      </c>
      <c r="I260" s="12"/>
      <c r="J260" s="11">
        <f t="shared" si="45"/>
        <v>42400</v>
      </c>
      <c r="K260" s="12"/>
      <c r="L260" s="12">
        <v>42400</v>
      </c>
      <c r="M260" s="12">
        <v>4600</v>
      </c>
      <c r="N260" s="12"/>
      <c r="O260" s="12">
        <f t="shared" si="46"/>
        <v>0</v>
      </c>
      <c r="P260" s="13">
        <f t="shared" si="39"/>
        <v>4225200</v>
      </c>
    </row>
    <row r="261" spans="1:18" ht="25.5" x14ac:dyDescent="0.2">
      <c r="A261" s="41" t="s">
        <v>333</v>
      </c>
      <c r="B261" s="20" t="s">
        <v>100</v>
      </c>
      <c r="C261" s="20" t="s">
        <v>113</v>
      </c>
      <c r="D261" s="21" t="s">
        <v>332</v>
      </c>
      <c r="E261" s="11">
        <f t="shared" si="44"/>
        <v>10586900</v>
      </c>
      <c r="F261" s="12">
        <f>10089900+17000+480000</f>
        <v>10586900</v>
      </c>
      <c r="G261" s="12">
        <v>6344600</v>
      </c>
      <c r="H261" s="12">
        <f>2098600-25000-32200+480000</f>
        <v>2521400</v>
      </c>
      <c r="I261" s="12"/>
      <c r="J261" s="11">
        <f t="shared" si="45"/>
        <v>5265000</v>
      </c>
      <c r="K261" s="12">
        <f>4000000-17000+420000</f>
        <v>4403000</v>
      </c>
      <c r="L261" s="12">
        <v>862000</v>
      </c>
      <c r="M261" s="12">
        <v>145000</v>
      </c>
      <c r="N261" s="12"/>
      <c r="O261" s="12">
        <f t="shared" si="46"/>
        <v>4403000</v>
      </c>
      <c r="P261" s="13">
        <f t="shared" si="39"/>
        <v>15851900</v>
      </c>
    </row>
    <row r="262" spans="1:18" hidden="1" x14ac:dyDescent="0.2">
      <c r="A262" s="41" t="s">
        <v>336</v>
      </c>
      <c r="B262" s="20" t="s">
        <v>335</v>
      </c>
      <c r="C262" s="20"/>
      <c r="D262" s="5" t="s">
        <v>334</v>
      </c>
      <c r="E262" s="11">
        <f t="shared" si="44"/>
        <v>0</v>
      </c>
      <c r="F262" s="12"/>
      <c r="G262" s="12"/>
      <c r="H262" s="12"/>
      <c r="I262" s="12">
        <f>I263+I264</f>
        <v>0</v>
      </c>
      <c r="J262" s="11">
        <f t="shared" si="45"/>
        <v>0</v>
      </c>
      <c r="K262" s="12"/>
      <c r="L262" s="12"/>
      <c r="M262" s="12"/>
      <c r="N262" s="12"/>
      <c r="O262" s="12">
        <f t="shared" si="46"/>
        <v>0</v>
      </c>
      <c r="P262" s="13">
        <f t="shared" si="39"/>
        <v>0</v>
      </c>
    </row>
    <row r="263" spans="1:18" x14ac:dyDescent="0.2">
      <c r="A263" s="41" t="s">
        <v>457</v>
      </c>
      <c r="B263" s="20" t="s">
        <v>455</v>
      </c>
      <c r="C263" s="20" t="s">
        <v>114</v>
      </c>
      <c r="D263" s="5" t="s">
        <v>459</v>
      </c>
      <c r="E263" s="11">
        <f t="shared" si="44"/>
        <v>2904100</v>
      </c>
      <c r="F263" s="12">
        <f>2564100+340000</f>
        <v>2904100</v>
      </c>
      <c r="G263" s="12">
        <f>1959500+280000</f>
        <v>2239500</v>
      </c>
      <c r="H263" s="12"/>
      <c r="I263" s="12"/>
      <c r="J263" s="11">
        <f t="shared" si="45"/>
        <v>97300</v>
      </c>
      <c r="K263" s="12">
        <f>67300+30000</f>
        <v>97300</v>
      </c>
      <c r="L263" s="12"/>
      <c r="M263" s="12"/>
      <c r="N263" s="12"/>
      <c r="O263" s="12">
        <f t="shared" si="46"/>
        <v>97300</v>
      </c>
      <c r="P263" s="13">
        <f t="shared" si="39"/>
        <v>3001400</v>
      </c>
    </row>
    <row r="264" spans="1:18" x14ac:dyDescent="0.2">
      <c r="A264" s="41" t="s">
        <v>458</v>
      </c>
      <c r="B264" s="20" t="s">
        <v>456</v>
      </c>
      <c r="C264" s="20" t="s">
        <v>114</v>
      </c>
      <c r="D264" s="5" t="s">
        <v>460</v>
      </c>
      <c r="E264" s="11">
        <f t="shared" si="44"/>
        <v>3190000</v>
      </c>
      <c r="F264" s="12">
        <v>3190000</v>
      </c>
      <c r="G264" s="12"/>
      <c r="H264" s="12"/>
      <c r="I264" s="12"/>
      <c r="J264" s="11">
        <f t="shared" si="45"/>
        <v>0</v>
      </c>
      <c r="K264" s="12"/>
      <c r="L264" s="12"/>
      <c r="M264" s="12"/>
      <c r="N264" s="12"/>
      <c r="O264" s="12">
        <f t="shared" si="46"/>
        <v>0</v>
      </c>
      <c r="P264" s="13">
        <f t="shared" si="39"/>
        <v>3190000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644</v>
      </c>
      <c r="E265" s="25">
        <f>E266</f>
        <v>31600000</v>
      </c>
      <c r="F265" s="25">
        <f>F266</f>
        <v>31600000</v>
      </c>
      <c r="G265" s="25">
        <f>G266</f>
        <v>14530900</v>
      </c>
      <c r="H265" s="25">
        <f>H266</f>
        <v>1708800</v>
      </c>
      <c r="I265" s="25">
        <f>I266</f>
        <v>0</v>
      </c>
      <c r="J265" s="25">
        <f t="shared" ref="J265:P265" si="47">J266</f>
        <v>4092900</v>
      </c>
      <c r="K265" s="25">
        <f>K266</f>
        <v>3278200</v>
      </c>
      <c r="L265" s="25">
        <f t="shared" si="47"/>
        <v>814700</v>
      </c>
      <c r="M265" s="25">
        <f t="shared" si="47"/>
        <v>53800</v>
      </c>
      <c r="N265" s="25">
        <f t="shared" si="47"/>
        <v>137600</v>
      </c>
      <c r="O265" s="25">
        <f t="shared" si="47"/>
        <v>3278200</v>
      </c>
      <c r="P265" s="25">
        <f t="shared" si="47"/>
        <v>35692900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644</v>
      </c>
      <c r="E266" s="25">
        <f>E267+E270+E271+E273+E275+E278+E280+E281</f>
        <v>31600000</v>
      </c>
      <c r="F266" s="25">
        <f>F267+F270+F271+F273+F275+F278+F280+F281</f>
        <v>31600000</v>
      </c>
      <c r="G266" s="25">
        <f>G267+G257+G270+G271+G273+G275+G278+G280+G281</f>
        <v>14530900</v>
      </c>
      <c r="H266" s="25">
        <f>H267+H257+H270+H271+H273+H275+H278+H280+H281</f>
        <v>1708800</v>
      </c>
      <c r="I266" s="25">
        <f>I267+I257+I270+I271+I273+I275+I278+I280+I281</f>
        <v>0</v>
      </c>
      <c r="J266" s="25">
        <f>J267+J275+J278+J281+J280</f>
        <v>4092900</v>
      </c>
      <c r="K266" s="25">
        <f>K267+K268+K269+K274+K277+K272+K279+K278+K281+K280</f>
        <v>3278200</v>
      </c>
      <c r="L266" s="25">
        <f>L267+L268+L269+L274+L277+L272+L279+L278</f>
        <v>814700</v>
      </c>
      <c r="M266" s="25">
        <f>M267+M268+M269+M274+M277+M272+M279+M278</f>
        <v>53800</v>
      </c>
      <c r="N266" s="25">
        <f>N267+N268+N269+N274+N277+N272+N279+N278</f>
        <v>137600</v>
      </c>
      <c r="O266" s="25">
        <f>O267+O268+O269+O274+O277+O272+O279+O278</f>
        <v>3278200</v>
      </c>
      <c r="P266" s="25">
        <f>P267+P270+P271+P273+P275+P278+P280+P281</f>
        <v>35692900</v>
      </c>
    </row>
    <row r="267" spans="1:18" ht="25.5" x14ac:dyDescent="0.2">
      <c r="A267" s="41" t="s">
        <v>337</v>
      </c>
      <c r="B267" s="4" t="s">
        <v>235</v>
      </c>
      <c r="C267" s="26" t="s">
        <v>163</v>
      </c>
      <c r="D267" s="14" t="s">
        <v>645</v>
      </c>
      <c r="E267" s="11">
        <f t="shared" ref="E267:E281" si="48">F267+I267</f>
        <v>2509200</v>
      </c>
      <c r="F267" s="12">
        <f>3571700-824200-138300-100000</f>
        <v>2509200</v>
      </c>
      <c r="G267" s="12">
        <f>2600000-675600-80000</f>
        <v>1844400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9">K267</f>
        <v>0</v>
      </c>
      <c r="P267" s="13">
        <f t="shared" ref="P267:P283" si="50">E267+J267</f>
        <v>2509200</v>
      </c>
    </row>
    <row r="268" spans="1:18" hidden="1" x14ac:dyDescent="0.2">
      <c r="A268" s="41" t="s">
        <v>338</v>
      </c>
      <c r="B268" s="20" t="s">
        <v>196</v>
      </c>
      <c r="C268" s="27"/>
      <c r="D268" s="23" t="s">
        <v>190</v>
      </c>
      <c r="E268" s="11">
        <f t="shared" si="48"/>
        <v>0</v>
      </c>
      <c r="F268" s="12"/>
      <c r="G268" s="12"/>
      <c r="H268" s="12"/>
      <c r="I268" s="12"/>
      <c r="J268" s="11">
        <f t="shared" ref="J268:J281" si="51">L268+O268</f>
        <v>0</v>
      </c>
      <c r="K268" s="12"/>
      <c r="L268" s="12"/>
      <c r="M268" s="12"/>
      <c r="N268" s="12"/>
      <c r="O268" s="12">
        <f t="shared" si="49"/>
        <v>0</v>
      </c>
      <c r="P268" s="13">
        <f t="shared" si="50"/>
        <v>0</v>
      </c>
    </row>
    <row r="269" spans="1:18" ht="15.75" hidden="1" customHeight="1" x14ac:dyDescent="0.2">
      <c r="A269" s="41">
        <v>1115010</v>
      </c>
      <c r="B269" s="20" t="s">
        <v>191</v>
      </c>
      <c r="C269" s="27"/>
      <c r="D269" s="21" t="s">
        <v>68</v>
      </c>
      <c r="E269" s="11">
        <f t="shared" si="48"/>
        <v>0</v>
      </c>
      <c r="F269" s="12"/>
      <c r="G269" s="12"/>
      <c r="H269" s="12"/>
      <c r="I269" s="12">
        <f>SUM(I270:I271)</f>
        <v>0</v>
      </c>
      <c r="J269" s="11">
        <f t="shared" si="51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9"/>
        <v>0</v>
      </c>
      <c r="P269" s="13">
        <f t="shared" si="50"/>
        <v>0</v>
      </c>
    </row>
    <row r="270" spans="1:18" ht="15.75" customHeight="1" x14ac:dyDescent="0.2">
      <c r="A270" s="41">
        <v>1115011</v>
      </c>
      <c r="B270" s="20" t="s">
        <v>79</v>
      </c>
      <c r="C270" s="27" t="s">
        <v>52</v>
      </c>
      <c r="D270" s="5" t="s">
        <v>134</v>
      </c>
      <c r="E270" s="11">
        <f t="shared" si="48"/>
        <v>1250000</v>
      </c>
      <c r="F270" s="12">
        <f>120000+1130000</f>
        <v>1250000</v>
      </c>
      <c r="G270" s="12"/>
      <c r="H270" s="12"/>
      <c r="I270" s="12"/>
      <c r="J270" s="11">
        <f t="shared" si="51"/>
        <v>0</v>
      </c>
      <c r="K270" s="12"/>
      <c r="L270" s="12"/>
      <c r="M270" s="12"/>
      <c r="N270" s="12"/>
      <c r="O270" s="12">
        <f t="shared" si="49"/>
        <v>0</v>
      </c>
      <c r="P270" s="13">
        <f t="shared" si="50"/>
        <v>1250000</v>
      </c>
    </row>
    <row r="271" spans="1:18" ht="19.5" customHeight="1" x14ac:dyDescent="0.2">
      <c r="A271" s="41">
        <v>1115012</v>
      </c>
      <c r="B271" s="20" t="s">
        <v>62</v>
      </c>
      <c r="C271" s="27" t="s">
        <v>52</v>
      </c>
      <c r="D271" s="23" t="s">
        <v>61</v>
      </c>
      <c r="E271" s="11">
        <f t="shared" si="48"/>
        <v>836000</v>
      </c>
      <c r="F271" s="12">
        <f>76000+760000</f>
        <v>836000</v>
      </c>
      <c r="G271" s="12"/>
      <c r="H271" s="12"/>
      <c r="I271" s="12"/>
      <c r="J271" s="11">
        <f t="shared" si="51"/>
        <v>0</v>
      </c>
      <c r="K271" s="12"/>
      <c r="L271" s="12"/>
      <c r="M271" s="12"/>
      <c r="N271" s="12"/>
      <c r="O271" s="12">
        <f t="shared" si="49"/>
        <v>0</v>
      </c>
      <c r="P271" s="13">
        <f t="shared" si="50"/>
        <v>836000</v>
      </c>
    </row>
    <row r="272" spans="1:18" ht="15.75" hidden="1" customHeight="1" x14ac:dyDescent="0.2">
      <c r="A272" s="41" t="s">
        <v>424</v>
      </c>
      <c r="B272" s="20" t="s">
        <v>425</v>
      </c>
      <c r="C272" s="27"/>
      <c r="D272" s="23" t="s">
        <v>469</v>
      </c>
      <c r="E272" s="11">
        <f t="shared" si="48"/>
        <v>0</v>
      </c>
      <c r="F272" s="12"/>
      <c r="G272" s="12"/>
      <c r="H272" s="12"/>
      <c r="I272" s="12">
        <f>I273</f>
        <v>0</v>
      </c>
      <c r="J272" s="11">
        <f t="shared" si="51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9"/>
        <v>0</v>
      </c>
      <c r="P272" s="13">
        <f t="shared" si="50"/>
        <v>0</v>
      </c>
    </row>
    <row r="273" spans="1:18" ht="26.25" customHeight="1" x14ac:dyDescent="0.2">
      <c r="A273" s="41" t="s">
        <v>427</v>
      </c>
      <c r="B273" s="20" t="s">
        <v>426</v>
      </c>
      <c r="C273" s="27" t="s">
        <v>52</v>
      </c>
      <c r="D273" s="23" t="s">
        <v>470</v>
      </c>
      <c r="E273" s="11">
        <f t="shared" si="48"/>
        <v>14000</v>
      </c>
      <c r="F273" s="12">
        <f>54000-40000</f>
        <v>14000</v>
      </c>
      <c r="G273" s="12"/>
      <c r="H273" s="12"/>
      <c r="I273" s="12"/>
      <c r="J273" s="11">
        <f t="shared" si="51"/>
        <v>0</v>
      </c>
      <c r="K273" s="12"/>
      <c r="L273" s="12"/>
      <c r="M273" s="12"/>
      <c r="N273" s="12"/>
      <c r="O273" s="12">
        <f t="shared" si="49"/>
        <v>0</v>
      </c>
      <c r="P273" s="13">
        <f t="shared" si="50"/>
        <v>14000</v>
      </c>
    </row>
    <row r="274" spans="1:18" hidden="1" x14ac:dyDescent="0.2">
      <c r="A274" s="41">
        <v>1115030</v>
      </c>
      <c r="B274" s="20" t="s">
        <v>192</v>
      </c>
      <c r="C274" s="27"/>
      <c r="D274" s="5" t="s">
        <v>184</v>
      </c>
      <c r="E274" s="11">
        <f t="shared" si="48"/>
        <v>0</v>
      </c>
      <c r="F274" s="12"/>
      <c r="G274" s="12"/>
      <c r="H274" s="12"/>
      <c r="I274" s="12">
        <f t="shared" ref="I274:N274" si="52">SUM(I275)</f>
        <v>0</v>
      </c>
      <c r="J274" s="11">
        <f t="shared" si="51"/>
        <v>3369300</v>
      </c>
      <c r="K274" s="12">
        <f>SUM(K275)</f>
        <v>2624000</v>
      </c>
      <c r="L274" s="12">
        <f t="shared" si="52"/>
        <v>745300</v>
      </c>
      <c r="M274" s="12">
        <f t="shared" si="52"/>
        <v>43700</v>
      </c>
      <c r="N274" s="12">
        <f t="shared" si="52"/>
        <v>119100</v>
      </c>
      <c r="O274" s="12">
        <f t="shared" si="49"/>
        <v>2624000</v>
      </c>
      <c r="P274" s="13">
        <f t="shared" si="50"/>
        <v>3369300</v>
      </c>
    </row>
    <row r="275" spans="1:18" ht="25.5" x14ac:dyDescent="0.2">
      <c r="A275" s="41">
        <v>1115031</v>
      </c>
      <c r="B275" s="20" t="s">
        <v>185</v>
      </c>
      <c r="C275" s="27" t="s">
        <v>52</v>
      </c>
      <c r="D275" s="5" t="s">
        <v>135</v>
      </c>
      <c r="E275" s="11">
        <f t="shared" si="48"/>
        <v>17432500</v>
      </c>
      <c r="F275" s="12">
        <f>15062500+1250000+31200+194800+180000+714000</f>
        <v>17432500</v>
      </c>
      <c r="G275" s="12">
        <f>9892200+820000+575000</f>
        <v>11287200</v>
      </c>
      <c r="H275" s="12">
        <f>1407000+43100+180000</f>
        <v>1630100</v>
      </c>
      <c r="I275" s="12"/>
      <c r="J275" s="11">
        <f t="shared" si="51"/>
        <v>3369300</v>
      </c>
      <c r="K275" s="12">
        <f>2450000+368800-194800</f>
        <v>2624000</v>
      </c>
      <c r="L275" s="12">
        <v>745300</v>
      </c>
      <c r="M275" s="12">
        <v>43700</v>
      </c>
      <c r="N275" s="12">
        <v>119100</v>
      </c>
      <c r="O275" s="12">
        <f t="shared" si="49"/>
        <v>2624000</v>
      </c>
      <c r="P275" s="13">
        <f t="shared" si="50"/>
        <v>20801800</v>
      </c>
    </row>
    <row r="276" spans="1:18" s="1" customFormat="1" ht="18" hidden="1" customHeight="1" x14ac:dyDescent="0.2">
      <c r="A276" s="36"/>
      <c r="B276" s="22"/>
      <c r="C276" s="28"/>
      <c r="D276" s="35" t="s">
        <v>519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50"/>
        <v>0</v>
      </c>
    </row>
    <row r="277" spans="1:18" ht="18.75" hidden="1" customHeight="1" x14ac:dyDescent="0.2">
      <c r="A277" s="41">
        <v>1115040</v>
      </c>
      <c r="B277" s="20" t="s">
        <v>186</v>
      </c>
      <c r="C277" s="27"/>
      <c r="D277" s="5" t="s">
        <v>187</v>
      </c>
      <c r="E277" s="11">
        <f>E278</f>
        <v>7415066</v>
      </c>
      <c r="F277" s="11"/>
      <c r="G277" s="11"/>
      <c r="H277" s="11"/>
      <c r="I277" s="11">
        <f>I278</f>
        <v>0</v>
      </c>
      <c r="J277" s="11">
        <f t="shared" si="51"/>
        <v>0</v>
      </c>
      <c r="K277" s="11"/>
      <c r="L277" s="11"/>
      <c r="M277" s="11"/>
      <c r="N277" s="11"/>
      <c r="O277" s="12">
        <f t="shared" si="49"/>
        <v>0</v>
      </c>
      <c r="P277" s="13">
        <f t="shared" si="50"/>
        <v>7415066</v>
      </c>
    </row>
    <row r="278" spans="1:18" ht="17.25" customHeight="1" x14ac:dyDescent="0.2">
      <c r="A278" s="41">
        <v>1115041</v>
      </c>
      <c r="B278" s="20" t="s">
        <v>188</v>
      </c>
      <c r="C278" s="27" t="s">
        <v>52</v>
      </c>
      <c r="D278" s="5" t="s">
        <v>339</v>
      </c>
      <c r="E278" s="11">
        <f t="shared" si="48"/>
        <v>7415066</v>
      </c>
      <c r="F278" s="12">
        <f>7453400-38334</f>
        <v>7415066</v>
      </c>
      <c r="G278" s="12">
        <f>265100-30145</f>
        <v>234955</v>
      </c>
      <c r="H278" s="12">
        <f>485000-406300</f>
        <v>78700</v>
      </c>
      <c r="I278" s="12"/>
      <c r="J278" s="11">
        <f t="shared" si="51"/>
        <v>303400</v>
      </c>
      <c r="K278" s="12">
        <f>551400+37800-505200+150000</f>
        <v>234000</v>
      </c>
      <c r="L278" s="12">
        <v>69400</v>
      </c>
      <c r="M278" s="12">
        <v>10100</v>
      </c>
      <c r="N278" s="12">
        <v>18500</v>
      </c>
      <c r="O278" s="12">
        <f t="shared" si="49"/>
        <v>234000</v>
      </c>
      <c r="P278" s="13">
        <f t="shared" si="50"/>
        <v>7718466</v>
      </c>
    </row>
    <row r="279" spans="1:18" ht="12.75" hidden="1" customHeight="1" x14ac:dyDescent="0.2">
      <c r="A279" s="41" t="s">
        <v>492</v>
      </c>
      <c r="B279" s="20" t="s">
        <v>494</v>
      </c>
      <c r="C279" s="27"/>
      <c r="D279" s="5" t="s">
        <v>493</v>
      </c>
      <c r="E279" s="11">
        <f>E280+E281</f>
        <v>2143234</v>
      </c>
      <c r="F279" s="11"/>
      <c r="G279" s="11"/>
      <c r="H279" s="11"/>
      <c r="I279" s="11">
        <f t="shared" ref="I279:O279" si="53">I280+I281</f>
        <v>0</v>
      </c>
      <c r="J279" s="11">
        <f t="shared" si="53"/>
        <v>420200</v>
      </c>
      <c r="K279" s="11"/>
      <c r="L279" s="11"/>
      <c r="M279" s="11"/>
      <c r="N279" s="11"/>
      <c r="O279" s="11">
        <f t="shared" si="53"/>
        <v>420200</v>
      </c>
      <c r="P279" s="13">
        <f t="shared" si="50"/>
        <v>2563434</v>
      </c>
    </row>
    <row r="280" spans="1:18" s="1" customFormat="1" ht="25.5" x14ac:dyDescent="0.2">
      <c r="A280" s="36" t="s">
        <v>7</v>
      </c>
      <c r="B280" s="22" t="s">
        <v>8</v>
      </c>
      <c r="C280" s="28" t="s">
        <v>52</v>
      </c>
      <c r="D280" s="5" t="s">
        <v>9</v>
      </c>
      <c r="E280" s="11">
        <f t="shared" si="48"/>
        <v>1082934</v>
      </c>
      <c r="F280" s="17">
        <f>1639934+40000-600000+3000</f>
        <v>1082934</v>
      </c>
      <c r="G280" s="17">
        <f>388345+3000+15000</f>
        <v>406345</v>
      </c>
      <c r="H280" s="17"/>
      <c r="I280" s="17"/>
      <c r="J280" s="11">
        <f t="shared" si="51"/>
        <v>355200</v>
      </c>
      <c r="K280" s="17">
        <v>355200</v>
      </c>
      <c r="L280" s="17"/>
      <c r="M280" s="17"/>
      <c r="N280" s="17"/>
      <c r="O280" s="12">
        <f>K280</f>
        <v>355200</v>
      </c>
      <c r="P280" s="16">
        <f t="shared" si="50"/>
        <v>1438134</v>
      </c>
    </row>
    <row r="281" spans="1:18" s="1" customFormat="1" ht="17.25" customHeight="1" x14ac:dyDescent="0.2">
      <c r="A281" s="36" t="s">
        <v>537</v>
      </c>
      <c r="B281" s="22" t="s">
        <v>538</v>
      </c>
      <c r="C281" s="28" t="s">
        <v>52</v>
      </c>
      <c r="D281" s="47" t="s">
        <v>539</v>
      </c>
      <c r="E281" s="11">
        <f t="shared" si="48"/>
        <v>1060300</v>
      </c>
      <c r="F281" s="17">
        <f>1998900-1001600+63000</f>
        <v>1060300</v>
      </c>
      <c r="G281" s="17">
        <f>1076000-400000+63000+19000</f>
        <v>758000</v>
      </c>
      <c r="H281" s="17"/>
      <c r="I281" s="17"/>
      <c r="J281" s="11">
        <f t="shared" si="51"/>
        <v>65000</v>
      </c>
      <c r="K281" s="17">
        <f>1020200-355200-600000</f>
        <v>65000</v>
      </c>
      <c r="L281" s="17"/>
      <c r="M281" s="17"/>
      <c r="N281" s="17"/>
      <c r="O281" s="12">
        <f>K281</f>
        <v>65000</v>
      </c>
      <c r="P281" s="16">
        <f t="shared" si="50"/>
        <v>1125300</v>
      </c>
    </row>
    <row r="282" spans="1:18" ht="25.5" hidden="1" x14ac:dyDescent="0.2">
      <c r="A282" s="62">
        <v>1200000</v>
      </c>
      <c r="B282" s="6"/>
      <c r="C282" s="7"/>
      <c r="D282" s="31" t="s">
        <v>115</v>
      </c>
      <c r="E282" s="25">
        <f>E284</f>
        <v>0</v>
      </c>
      <c r="F282" s="25">
        <f t="shared" ref="F282:O282" si="54">F284</f>
        <v>0</v>
      </c>
      <c r="G282" s="25">
        <f t="shared" si="54"/>
        <v>0</v>
      </c>
      <c r="H282" s="25">
        <f t="shared" si="54"/>
        <v>0</v>
      </c>
      <c r="I282" s="25">
        <f t="shared" si="54"/>
        <v>0</v>
      </c>
      <c r="J282" s="25">
        <f t="shared" si="54"/>
        <v>0</v>
      </c>
      <c r="K282" s="25">
        <f t="shared" si="54"/>
        <v>0</v>
      </c>
      <c r="L282" s="25">
        <f t="shared" si="54"/>
        <v>0</v>
      </c>
      <c r="M282" s="25">
        <f t="shared" si="54"/>
        <v>0</v>
      </c>
      <c r="N282" s="25">
        <f t="shared" si="54"/>
        <v>0</v>
      </c>
      <c r="O282" s="25">
        <f t="shared" si="54"/>
        <v>0</v>
      </c>
      <c r="P282" s="13">
        <f t="shared" si="50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519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50"/>
        <v>0</v>
      </c>
    </row>
    <row r="284" spans="1:18" ht="25.5" hidden="1" x14ac:dyDescent="0.2">
      <c r="A284" s="41" t="s">
        <v>340</v>
      </c>
      <c r="B284" s="8"/>
      <c r="C284" s="7"/>
      <c r="D284" s="15" t="s">
        <v>153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341</v>
      </c>
      <c r="B285" s="4" t="s">
        <v>235</v>
      </c>
      <c r="C285" s="4" t="s">
        <v>163</v>
      </c>
      <c r="D285" s="14" t="s">
        <v>645</v>
      </c>
      <c r="E285" s="11">
        <f t="shared" ref="E285:E307" si="55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6">K285</f>
        <v>0</v>
      </c>
      <c r="P285" s="13">
        <f t="shared" ref="P285:P300" si="57">E285+J285</f>
        <v>0</v>
      </c>
    </row>
    <row r="286" spans="1:18" ht="25.5" hidden="1" x14ac:dyDescent="0.2">
      <c r="A286" s="41">
        <v>4016010</v>
      </c>
      <c r="B286" s="4" t="s">
        <v>101</v>
      </c>
      <c r="C286" s="4" t="s">
        <v>166</v>
      </c>
      <c r="D286" s="75" t="s">
        <v>122</v>
      </c>
      <c r="E286" s="11">
        <f t="shared" si="55"/>
        <v>0</v>
      </c>
      <c r="F286" s="12"/>
      <c r="G286" s="12"/>
      <c r="H286" s="12"/>
      <c r="I286" s="12"/>
      <c r="J286" s="11">
        <f t="shared" ref="J286:J307" si="58">L286+O286</f>
        <v>0</v>
      </c>
      <c r="K286" s="12"/>
      <c r="L286" s="12"/>
      <c r="M286" s="12"/>
      <c r="N286" s="12"/>
      <c r="O286" s="12">
        <f t="shared" si="56"/>
        <v>0</v>
      </c>
      <c r="P286" s="13">
        <f t="shared" si="57"/>
        <v>0</v>
      </c>
    </row>
    <row r="287" spans="1:18" hidden="1" x14ac:dyDescent="0.2">
      <c r="A287" s="41" t="s">
        <v>343</v>
      </c>
      <c r="B287" s="4" t="s">
        <v>101</v>
      </c>
      <c r="C287" s="4"/>
      <c r="D287" s="84" t="s">
        <v>342</v>
      </c>
      <c r="E287" s="11">
        <f t="shared" si="55"/>
        <v>0</v>
      </c>
      <c r="F287" s="11"/>
      <c r="G287" s="11"/>
      <c r="H287" s="11"/>
      <c r="I287" s="11">
        <f>I288+I291+I292+I290+I340</f>
        <v>0</v>
      </c>
      <c r="J287" s="11">
        <f t="shared" si="58"/>
        <v>0</v>
      </c>
      <c r="K287" s="11"/>
      <c r="L287" s="11"/>
      <c r="M287" s="11"/>
      <c r="N287" s="11">
        <f>N288+N291+N292+N290+N340</f>
        <v>0</v>
      </c>
      <c r="O287" s="12">
        <f t="shared" si="56"/>
        <v>0</v>
      </c>
      <c r="P287" s="13">
        <f t="shared" si="57"/>
        <v>0</v>
      </c>
    </row>
    <row r="288" spans="1:18" s="1" customFormat="1" hidden="1" x14ac:dyDescent="0.2">
      <c r="A288" s="36" t="s">
        <v>346</v>
      </c>
      <c r="B288" s="3" t="s">
        <v>345</v>
      </c>
      <c r="C288" s="3" t="s">
        <v>166</v>
      </c>
      <c r="D288" s="19" t="s">
        <v>344</v>
      </c>
      <c r="E288" s="10">
        <f t="shared" si="55"/>
        <v>0</v>
      </c>
      <c r="F288" s="17"/>
      <c r="G288" s="17"/>
      <c r="H288" s="17"/>
      <c r="I288" s="17"/>
      <c r="J288" s="11">
        <f t="shared" si="58"/>
        <v>0</v>
      </c>
      <c r="K288" s="17"/>
      <c r="L288" s="17"/>
      <c r="M288" s="17"/>
      <c r="N288" s="17"/>
      <c r="O288" s="12">
        <f t="shared" si="56"/>
        <v>0</v>
      </c>
      <c r="P288" s="13">
        <f t="shared" si="57"/>
        <v>0</v>
      </c>
    </row>
    <row r="289" spans="1:16" s="1" customFormat="1" hidden="1" x14ac:dyDescent="0.2">
      <c r="A289" s="36"/>
      <c r="B289" s="3"/>
      <c r="C289" s="3"/>
      <c r="D289" s="15" t="s">
        <v>519</v>
      </c>
      <c r="E289" s="10"/>
      <c r="F289" s="17"/>
      <c r="G289" s="17"/>
      <c r="H289" s="17"/>
      <c r="I289" s="17"/>
      <c r="J289" s="11">
        <f t="shared" si="58"/>
        <v>0</v>
      </c>
      <c r="K289" s="17"/>
      <c r="L289" s="17"/>
      <c r="M289" s="17"/>
      <c r="N289" s="17"/>
      <c r="O289" s="12">
        <f t="shared" si="56"/>
        <v>0</v>
      </c>
      <c r="P289" s="13">
        <f t="shared" si="57"/>
        <v>0</v>
      </c>
    </row>
    <row r="290" spans="1:16" hidden="1" x14ac:dyDescent="0.2">
      <c r="A290" s="41" t="s">
        <v>499</v>
      </c>
      <c r="B290" s="4" t="s">
        <v>500</v>
      </c>
      <c r="C290" s="4" t="s">
        <v>116</v>
      </c>
      <c r="D290" s="21" t="s">
        <v>501</v>
      </c>
      <c r="E290" s="11">
        <f t="shared" si="55"/>
        <v>0</v>
      </c>
      <c r="F290" s="12"/>
      <c r="G290" s="12"/>
      <c r="H290" s="12"/>
      <c r="I290" s="12"/>
      <c r="J290" s="11">
        <f t="shared" si="58"/>
        <v>0</v>
      </c>
      <c r="K290" s="12"/>
      <c r="L290" s="12"/>
      <c r="M290" s="12"/>
      <c r="N290" s="12"/>
      <c r="O290" s="12">
        <f t="shared" si="56"/>
        <v>0</v>
      </c>
      <c r="P290" s="13">
        <f t="shared" si="57"/>
        <v>0</v>
      </c>
    </row>
    <row r="291" spans="1:16" s="1" customFormat="1" hidden="1" x14ac:dyDescent="0.2">
      <c r="A291" s="36" t="s">
        <v>348</v>
      </c>
      <c r="B291" s="3" t="s">
        <v>347</v>
      </c>
      <c r="C291" s="3" t="s">
        <v>116</v>
      </c>
      <c r="D291" s="19" t="s">
        <v>349</v>
      </c>
      <c r="E291" s="10">
        <f t="shared" si="55"/>
        <v>0</v>
      </c>
      <c r="F291" s="17"/>
      <c r="G291" s="17"/>
      <c r="H291" s="17"/>
      <c r="I291" s="17"/>
      <c r="J291" s="11">
        <f t="shared" si="58"/>
        <v>0</v>
      </c>
      <c r="K291" s="17"/>
      <c r="L291" s="17"/>
      <c r="M291" s="17"/>
      <c r="N291" s="17"/>
      <c r="O291" s="12">
        <f t="shared" si="56"/>
        <v>0</v>
      </c>
      <c r="P291" s="13">
        <f t="shared" si="57"/>
        <v>0</v>
      </c>
    </row>
    <row r="292" spans="1:16" s="1" customFormat="1" ht="25.5" hidden="1" x14ac:dyDescent="0.2">
      <c r="A292" s="36" t="s">
        <v>353</v>
      </c>
      <c r="B292" s="3" t="s">
        <v>354</v>
      </c>
      <c r="C292" s="3" t="s">
        <v>116</v>
      </c>
      <c r="D292" s="19" t="s">
        <v>207</v>
      </c>
      <c r="E292" s="10">
        <f t="shared" si="55"/>
        <v>0</v>
      </c>
      <c r="F292" s="17"/>
      <c r="G292" s="17"/>
      <c r="H292" s="17"/>
      <c r="I292" s="17"/>
      <c r="J292" s="11">
        <f t="shared" si="58"/>
        <v>0</v>
      </c>
      <c r="K292" s="17"/>
      <c r="L292" s="17"/>
      <c r="M292" s="17"/>
      <c r="N292" s="17"/>
      <c r="O292" s="12">
        <f t="shared" si="56"/>
        <v>0</v>
      </c>
      <c r="P292" s="13">
        <f t="shared" si="57"/>
        <v>0</v>
      </c>
    </row>
    <row r="293" spans="1:16" ht="29.25" hidden="1" customHeight="1" x14ac:dyDescent="0.2">
      <c r="A293" s="41" t="s">
        <v>358</v>
      </c>
      <c r="B293" s="85">
        <v>6020</v>
      </c>
      <c r="C293" s="4" t="s">
        <v>116</v>
      </c>
      <c r="D293" s="5" t="s">
        <v>357</v>
      </c>
      <c r="E293" s="10">
        <f t="shared" si="55"/>
        <v>0</v>
      </c>
      <c r="F293" s="12"/>
      <c r="G293" s="12"/>
      <c r="H293" s="12"/>
      <c r="I293" s="12"/>
      <c r="J293" s="11">
        <f t="shared" si="58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519</v>
      </c>
      <c r="E294" s="10">
        <f t="shared" si="55"/>
        <v>0</v>
      </c>
      <c r="F294" s="17"/>
      <c r="G294" s="17"/>
      <c r="H294" s="17"/>
      <c r="I294" s="17"/>
      <c r="J294" s="10">
        <f t="shared" si="58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358</v>
      </c>
      <c r="B295" s="85">
        <v>6020</v>
      </c>
      <c r="C295" s="4" t="s">
        <v>116</v>
      </c>
      <c r="D295" s="15" t="s">
        <v>357</v>
      </c>
      <c r="E295" s="10">
        <f t="shared" si="55"/>
        <v>0</v>
      </c>
      <c r="F295" s="12"/>
      <c r="G295" s="12"/>
      <c r="H295" s="12"/>
      <c r="I295" s="12"/>
      <c r="J295" s="11">
        <f t="shared" si="58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352</v>
      </c>
      <c r="B296" s="4" t="s">
        <v>351</v>
      </c>
      <c r="C296" s="4" t="s">
        <v>116</v>
      </c>
      <c r="D296" s="21" t="s">
        <v>350</v>
      </c>
      <c r="E296" s="11">
        <f t="shared" si="55"/>
        <v>0</v>
      </c>
      <c r="F296" s="87"/>
      <c r="G296" s="87"/>
      <c r="H296" s="87"/>
      <c r="I296" s="30"/>
      <c r="J296" s="11">
        <f t="shared" si="58"/>
        <v>0</v>
      </c>
      <c r="K296" s="30"/>
      <c r="L296" s="30"/>
      <c r="M296" s="30"/>
      <c r="N296" s="30"/>
      <c r="O296" s="30">
        <f>K296</f>
        <v>0</v>
      </c>
      <c r="P296" s="13">
        <f t="shared" si="57"/>
        <v>0</v>
      </c>
    </row>
    <row r="297" spans="1:16" ht="29.25" hidden="1" customHeight="1" x14ac:dyDescent="0.2">
      <c r="A297" s="41">
        <v>4016100</v>
      </c>
      <c r="B297" s="81" t="s">
        <v>206</v>
      </c>
      <c r="C297" s="81" t="s">
        <v>116</v>
      </c>
      <c r="D297" s="23" t="s">
        <v>207</v>
      </c>
      <c r="E297" s="11">
        <f t="shared" si="55"/>
        <v>0</v>
      </c>
      <c r="F297" s="12"/>
      <c r="G297" s="12"/>
      <c r="H297" s="12"/>
      <c r="I297" s="12"/>
      <c r="J297" s="11">
        <f t="shared" si="58"/>
        <v>0</v>
      </c>
      <c r="K297" s="12"/>
      <c r="L297" s="12"/>
      <c r="M297" s="12"/>
      <c r="N297" s="12"/>
      <c r="O297" s="12">
        <f>K297</f>
        <v>0</v>
      </c>
      <c r="P297" s="13">
        <f t="shared" si="57"/>
        <v>0</v>
      </c>
    </row>
    <row r="298" spans="1:16" hidden="1" x14ac:dyDescent="0.2">
      <c r="A298" s="41"/>
      <c r="B298" s="81"/>
      <c r="C298" s="81"/>
      <c r="D298" s="15" t="s">
        <v>519</v>
      </c>
      <c r="E298" s="10">
        <f t="shared" si="55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7"/>
        <v>0</v>
      </c>
    </row>
    <row r="299" spans="1:16" ht="15.75" hidden="1" x14ac:dyDescent="0.25">
      <c r="A299" s="41" t="s">
        <v>356</v>
      </c>
      <c r="B299" s="81" t="s">
        <v>355</v>
      </c>
      <c r="C299" s="81" t="s">
        <v>116</v>
      </c>
      <c r="D299" s="46" t="s">
        <v>211</v>
      </c>
      <c r="E299" s="11">
        <f t="shared" si="55"/>
        <v>0</v>
      </c>
      <c r="F299" s="12"/>
      <c r="G299" s="12"/>
      <c r="H299" s="12"/>
      <c r="I299" s="12"/>
      <c r="J299" s="11">
        <f t="shared" si="58"/>
        <v>0</v>
      </c>
      <c r="K299" s="12"/>
      <c r="L299" s="12"/>
      <c r="M299" s="12"/>
      <c r="N299" s="12"/>
      <c r="O299" s="12">
        <f t="shared" si="56"/>
        <v>0</v>
      </c>
      <c r="P299" s="13">
        <f t="shared" si="57"/>
        <v>0</v>
      </c>
    </row>
    <row r="300" spans="1:16" hidden="1" x14ac:dyDescent="0.2">
      <c r="A300" s="41" t="s">
        <v>361</v>
      </c>
      <c r="B300" s="85">
        <v>6070</v>
      </c>
      <c r="C300" s="4"/>
      <c r="D300" s="23" t="s">
        <v>359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8"/>
        <v>0</v>
      </c>
      <c r="K300" s="12"/>
      <c r="L300" s="12"/>
      <c r="M300" s="12"/>
      <c r="N300" s="12">
        <f>N301</f>
        <v>0</v>
      </c>
      <c r="O300" s="12">
        <f t="shared" si="56"/>
        <v>0</v>
      </c>
      <c r="P300" s="13">
        <f t="shared" si="57"/>
        <v>0</v>
      </c>
    </row>
    <row r="301" spans="1:16" s="1" customFormat="1" ht="114.75" hidden="1" x14ac:dyDescent="0.2">
      <c r="A301" s="36" t="s">
        <v>362</v>
      </c>
      <c r="B301" s="86">
        <v>6072</v>
      </c>
      <c r="C301" s="3" t="s">
        <v>208</v>
      </c>
      <c r="D301" s="69" t="s">
        <v>360</v>
      </c>
      <c r="E301" s="10">
        <f>F301+I301</f>
        <v>0</v>
      </c>
      <c r="F301" s="17"/>
      <c r="G301" s="17"/>
      <c r="H301" s="17"/>
      <c r="I301" s="17"/>
      <c r="J301" s="11">
        <f t="shared" si="58"/>
        <v>0</v>
      </c>
      <c r="K301" s="17"/>
      <c r="L301" s="17"/>
      <c r="M301" s="17"/>
      <c r="N301" s="17"/>
      <c r="O301" s="12">
        <f t="shared" si="56"/>
        <v>0</v>
      </c>
      <c r="P301" s="16"/>
    </row>
    <row r="302" spans="1:16" hidden="1" x14ac:dyDescent="0.2">
      <c r="A302" s="41" t="s">
        <v>620</v>
      </c>
      <c r="B302" s="81" t="s">
        <v>406</v>
      </c>
      <c r="C302" s="4" t="s">
        <v>407</v>
      </c>
      <c r="D302" s="14" t="s">
        <v>405</v>
      </c>
      <c r="E302" s="11"/>
      <c r="F302" s="12"/>
      <c r="G302" s="12"/>
      <c r="H302" s="12"/>
      <c r="I302" s="12"/>
      <c r="J302" s="11">
        <f t="shared" si="58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9">E302+J302</f>
        <v>0</v>
      </c>
    </row>
    <row r="303" spans="1:16" hidden="1" x14ac:dyDescent="0.2">
      <c r="A303" s="41" t="s">
        <v>365</v>
      </c>
      <c r="B303" s="8" t="s">
        <v>364</v>
      </c>
      <c r="C303" s="4"/>
      <c r="D303" s="21" t="s">
        <v>363</v>
      </c>
      <c r="E303" s="11">
        <f t="shared" si="55"/>
        <v>0</v>
      </c>
      <c r="F303" s="12"/>
      <c r="G303" s="12"/>
      <c r="H303" s="12"/>
      <c r="I303" s="12">
        <f>I304+I305+I307</f>
        <v>0</v>
      </c>
      <c r="J303" s="11">
        <f t="shared" si="58"/>
        <v>0</v>
      </c>
      <c r="K303" s="12"/>
      <c r="L303" s="12"/>
      <c r="M303" s="12"/>
      <c r="N303" s="12">
        <f>N304+N305+N307</f>
        <v>0</v>
      </c>
      <c r="O303" s="12">
        <f t="shared" si="56"/>
        <v>0</v>
      </c>
      <c r="P303" s="13">
        <f t="shared" si="59"/>
        <v>0</v>
      </c>
    </row>
    <row r="304" spans="1:16" ht="25.5" hidden="1" x14ac:dyDescent="0.2">
      <c r="A304" s="41" t="s">
        <v>368</v>
      </c>
      <c r="B304" s="88" t="s">
        <v>367</v>
      </c>
      <c r="C304" s="4" t="s">
        <v>117</v>
      </c>
      <c r="D304" s="21" t="s">
        <v>366</v>
      </c>
      <c r="E304" s="11">
        <f t="shared" si="55"/>
        <v>0</v>
      </c>
      <c r="F304" s="12"/>
      <c r="G304" s="12"/>
      <c r="H304" s="12"/>
      <c r="I304" s="12"/>
      <c r="J304" s="11">
        <f t="shared" si="58"/>
        <v>0</v>
      </c>
      <c r="K304" s="12"/>
      <c r="L304" s="12"/>
      <c r="M304" s="12"/>
      <c r="N304" s="12"/>
      <c r="O304" s="12">
        <f t="shared" si="56"/>
        <v>0</v>
      </c>
      <c r="P304" s="13">
        <f t="shared" si="59"/>
        <v>0</v>
      </c>
    </row>
    <row r="305" spans="1:18" s="1" customFormat="1" ht="25.5" hidden="1" x14ac:dyDescent="0.2">
      <c r="A305" s="36" t="s">
        <v>371</v>
      </c>
      <c r="B305" s="89" t="s">
        <v>370</v>
      </c>
      <c r="C305" s="22" t="s">
        <v>117</v>
      </c>
      <c r="D305" s="24" t="s">
        <v>369</v>
      </c>
      <c r="E305" s="10">
        <f t="shared" si="55"/>
        <v>0</v>
      </c>
      <c r="F305" s="17"/>
      <c r="G305" s="17"/>
      <c r="H305" s="17"/>
      <c r="I305" s="17"/>
      <c r="J305" s="11">
        <f t="shared" si="58"/>
        <v>0</v>
      </c>
      <c r="K305" s="17"/>
      <c r="L305" s="17"/>
      <c r="M305" s="17"/>
      <c r="N305" s="17"/>
      <c r="O305" s="12">
        <f t="shared" si="56"/>
        <v>0</v>
      </c>
      <c r="P305" s="13">
        <f t="shared" si="59"/>
        <v>0</v>
      </c>
    </row>
    <row r="306" spans="1:18" s="1" customFormat="1" hidden="1" x14ac:dyDescent="0.2">
      <c r="A306" s="36"/>
      <c r="B306" s="89"/>
      <c r="C306" s="22"/>
      <c r="D306" s="15" t="s">
        <v>519</v>
      </c>
      <c r="E306" s="10">
        <f t="shared" si="55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9"/>
        <v>0</v>
      </c>
    </row>
    <row r="307" spans="1:18" s="1" customFormat="1" ht="25.5" hidden="1" customHeight="1" x14ac:dyDescent="0.2">
      <c r="A307" s="36" t="s">
        <v>374</v>
      </c>
      <c r="B307" s="89" t="s">
        <v>373</v>
      </c>
      <c r="C307" s="22" t="s">
        <v>117</v>
      </c>
      <c r="D307" s="24" t="s">
        <v>372</v>
      </c>
      <c r="E307" s="10">
        <f t="shared" si="55"/>
        <v>0</v>
      </c>
      <c r="F307" s="17"/>
      <c r="G307" s="17"/>
      <c r="H307" s="17"/>
      <c r="I307" s="17"/>
      <c r="J307" s="11">
        <f t="shared" si="58"/>
        <v>0</v>
      </c>
      <c r="K307" s="17"/>
      <c r="L307" s="17"/>
      <c r="M307" s="17"/>
      <c r="N307" s="17"/>
      <c r="O307" s="12">
        <f t="shared" si="56"/>
        <v>0</v>
      </c>
      <c r="P307" s="16">
        <f t="shared" si="59"/>
        <v>0</v>
      </c>
    </row>
    <row r="308" spans="1:18" hidden="1" x14ac:dyDescent="0.2">
      <c r="A308" s="41" t="s">
        <v>376</v>
      </c>
      <c r="B308" s="8" t="s">
        <v>223</v>
      </c>
      <c r="C308" s="4" t="s">
        <v>169</v>
      </c>
      <c r="D308" s="21" t="s">
        <v>375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6"/>
        <v>0</v>
      </c>
      <c r="P308" s="13">
        <f t="shared" si="59"/>
        <v>0</v>
      </c>
    </row>
    <row r="309" spans="1:18" hidden="1" x14ac:dyDescent="0.2">
      <c r="A309" s="41" t="s">
        <v>379</v>
      </c>
      <c r="B309" s="8" t="s">
        <v>378</v>
      </c>
      <c r="C309" s="4" t="s">
        <v>208</v>
      </c>
      <c r="D309" s="5" t="s">
        <v>377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6"/>
        <v>0</v>
      </c>
      <c r="P309" s="13">
        <f t="shared" si="59"/>
        <v>0</v>
      </c>
    </row>
    <row r="310" spans="1:18" hidden="1" x14ac:dyDescent="0.2">
      <c r="A310" s="41" t="s">
        <v>598</v>
      </c>
      <c r="B310" s="4" t="s">
        <v>232</v>
      </c>
      <c r="C310" s="3" t="s">
        <v>169</v>
      </c>
      <c r="D310" s="73" t="s">
        <v>233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9"/>
        <v>0</v>
      </c>
    </row>
    <row r="311" spans="1:18" ht="25.5" hidden="1" x14ac:dyDescent="0.2">
      <c r="A311" s="41" t="s">
        <v>604</v>
      </c>
      <c r="B311" s="4" t="s">
        <v>226</v>
      </c>
      <c r="C311" s="4" t="s">
        <v>172</v>
      </c>
      <c r="D311" s="82" t="s">
        <v>433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9"/>
        <v>0</v>
      </c>
    </row>
    <row r="312" spans="1:18" ht="25.5" x14ac:dyDescent="0.2">
      <c r="A312" s="62">
        <v>1500000</v>
      </c>
      <c r="B312" s="6"/>
      <c r="C312" s="7"/>
      <c r="D312" s="31" t="s">
        <v>6</v>
      </c>
      <c r="E312" s="25">
        <f>E321</f>
        <v>170644941</v>
      </c>
      <c r="F312" s="25">
        <f t="shared" ref="F312:O312" si="60">F321</f>
        <v>170644941</v>
      </c>
      <c r="G312" s="25">
        <f t="shared" si="60"/>
        <v>7282700</v>
      </c>
      <c r="H312" s="25">
        <f t="shared" si="60"/>
        <v>12371790</v>
      </c>
      <c r="I312" s="25">
        <f t="shared" si="60"/>
        <v>0</v>
      </c>
      <c r="J312" s="25">
        <f t="shared" si="60"/>
        <v>347751656</v>
      </c>
      <c r="K312" s="25">
        <f>K321</f>
        <v>316315656</v>
      </c>
      <c r="L312" s="25">
        <f t="shared" si="60"/>
        <v>0</v>
      </c>
      <c r="M312" s="25">
        <f t="shared" si="60"/>
        <v>0</v>
      </c>
      <c r="N312" s="25">
        <f t="shared" si="60"/>
        <v>0</v>
      </c>
      <c r="O312" s="25">
        <f t="shared" si="60"/>
        <v>347751656</v>
      </c>
      <c r="P312" s="13">
        <f t="shared" si="59"/>
        <v>518396597</v>
      </c>
      <c r="R312" s="34"/>
    </row>
    <row r="313" spans="1:18" s="1" customFormat="1" hidden="1" x14ac:dyDescent="0.2">
      <c r="A313" s="36"/>
      <c r="B313" s="18"/>
      <c r="C313" s="3"/>
      <c r="D313" s="15" t="s">
        <v>519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9"/>
        <v>0</v>
      </c>
    </row>
    <row r="314" spans="1:18" s="1" customFormat="1" ht="51" hidden="1" x14ac:dyDescent="0.2">
      <c r="A314" s="36"/>
      <c r="B314" s="18"/>
      <c r="C314" s="3"/>
      <c r="D314" s="19" t="s">
        <v>607</v>
      </c>
      <c r="E314" s="17"/>
      <c r="F314" s="17"/>
      <c r="G314" s="17"/>
      <c r="H314" s="17"/>
      <c r="I314" s="17"/>
      <c r="J314" s="17">
        <f t="shared" ref="J314:O314" si="61">J350</f>
        <v>0</v>
      </c>
      <c r="K314" s="17">
        <f t="shared" si="61"/>
        <v>0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0</v>
      </c>
      <c r="P314" s="16">
        <f t="shared" si="59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2">J343</f>
        <v>0</v>
      </c>
      <c r="K315" s="17">
        <f t="shared" si="62"/>
        <v>0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0</v>
      </c>
      <c r="P315" s="32">
        <f t="shared" si="62"/>
        <v>0</v>
      </c>
    </row>
    <row r="316" spans="1:18" s="1" customFormat="1" ht="25.5" x14ac:dyDescent="0.2">
      <c r="A316" s="36"/>
      <c r="B316" s="18"/>
      <c r="C316" s="3"/>
      <c r="D316" s="19" t="s">
        <v>554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3">J366+J347</f>
        <v>11088599</v>
      </c>
      <c r="K316" s="17">
        <f t="shared" si="63"/>
        <v>11088599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11088599</v>
      </c>
      <c r="P316" s="32">
        <f t="shared" si="63"/>
        <v>11088599</v>
      </c>
    </row>
    <row r="317" spans="1:18" s="1" customFormat="1" ht="25.5" x14ac:dyDescent="0.2">
      <c r="A317" s="36"/>
      <c r="B317" s="18"/>
      <c r="C317" s="3"/>
      <c r="D317" s="35" t="s">
        <v>546</v>
      </c>
      <c r="E317" s="17"/>
      <c r="F317" s="17"/>
      <c r="G317" s="17"/>
      <c r="H317" s="17"/>
      <c r="I317" s="17"/>
      <c r="J317" s="17">
        <f t="shared" ref="J317:O317" si="64">J368</f>
        <v>44885444</v>
      </c>
      <c r="K317" s="17">
        <f t="shared" si="64"/>
        <v>44885444</v>
      </c>
      <c r="L317" s="17">
        <f t="shared" si="64"/>
        <v>0</v>
      </c>
      <c r="M317" s="17">
        <f t="shared" si="64"/>
        <v>0</v>
      </c>
      <c r="N317" s="17">
        <f t="shared" si="64"/>
        <v>0</v>
      </c>
      <c r="O317" s="17">
        <f t="shared" si="64"/>
        <v>44885444</v>
      </c>
      <c r="P317" s="16">
        <f t="shared" si="59"/>
        <v>44885444</v>
      </c>
    </row>
    <row r="318" spans="1:18" s="1" customFormat="1" ht="25.5" x14ac:dyDescent="0.2">
      <c r="A318" s="36"/>
      <c r="B318" s="18"/>
      <c r="C318" s="3"/>
      <c r="D318" s="24" t="s">
        <v>693</v>
      </c>
      <c r="E318" s="17"/>
      <c r="F318" s="17"/>
      <c r="G318" s="17"/>
      <c r="H318" s="17"/>
      <c r="I318" s="17"/>
      <c r="J318" s="17">
        <f>L318+O318</f>
        <v>10000000</v>
      </c>
      <c r="K318" s="17">
        <f>O318</f>
        <v>10000000</v>
      </c>
      <c r="L318" s="17"/>
      <c r="M318" s="17"/>
      <c r="N318" s="17"/>
      <c r="O318" s="17">
        <f>O328</f>
        <v>10000000</v>
      </c>
      <c r="P318" s="16">
        <f t="shared" si="59"/>
        <v>10000000</v>
      </c>
    </row>
    <row r="319" spans="1:18" s="1" customFormat="1" ht="25.5" x14ac:dyDescent="0.2">
      <c r="A319" s="36"/>
      <c r="B319" s="18"/>
      <c r="C319" s="3"/>
      <c r="D319" s="69" t="s">
        <v>46</v>
      </c>
      <c r="E319" s="17"/>
      <c r="F319" s="17"/>
      <c r="G319" s="17"/>
      <c r="H319" s="17"/>
      <c r="I319" s="17"/>
      <c r="J319" s="17">
        <f t="shared" ref="J319:O319" si="65">J361</f>
        <v>80000000</v>
      </c>
      <c r="K319" s="17">
        <f t="shared" si="65"/>
        <v>80000000</v>
      </c>
      <c r="L319" s="17">
        <f t="shared" si="65"/>
        <v>0</v>
      </c>
      <c r="M319" s="17">
        <f t="shared" si="65"/>
        <v>0</v>
      </c>
      <c r="N319" s="17">
        <f t="shared" si="65"/>
        <v>0</v>
      </c>
      <c r="O319" s="17">
        <f t="shared" si="65"/>
        <v>80000000</v>
      </c>
      <c r="P319" s="16">
        <f t="shared" si="59"/>
        <v>80000000</v>
      </c>
    </row>
    <row r="320" spans="1:18" ht="15" customHeight="1" x14ac:dyDescent="0.2">
      <c r="A320" s="62"/>
      <c r="B320" s="6"/>
      <c r="C320" s="7"/>
      <c r="D320" s="24" t="s">
        <v>520</v>
      </c>
      <c r="E320" s="25">
        <f>F320+I320</f>
        <v>0</v>
      </c>
      <c r="F320" s="25"/>
      <c r="G320" s="25"/>
      <c r="H320" s="25"/>
      <c r="I320" s="25"/>
      <c r="J320" s="17">
        <f>L320+O320</f>
        <v>31436000</v>
      </c>
      <c r="K320" s="33">
        <f>SUM(K381)</f>
        <v>0</v>
      </c>
      <c r="L320" s="17"/>
      <c r="M320" s="17"/>
      <c r="N320" s="17"/>
      <c r="O320" s="33">
        <f>O381</f>
        <v>31436000</v>
      </c>
      <c r="P320" s="13">
        <f t="shared" si="59"/>
        <v>31436000</v>
      </c>
    </row>
    <row r="321" spans="1:17" ht="25.5" x14ac:dyDescent="0.2">
      <c r="A321" s="41" t="s">
        <v>380</v>
      </c>
      <c r="B321" s="8"/>
      <c r="C321" s="7"/>
      <c r="D321" s="15" t="s">
        <v>6</v>
      </c>
      <c r="E321" s="29">
        <f>E322+E342+E371+E382+E344+E338</f>
        <v>170644941</v>
      </c>
      <c r="F321" s="29">
        <f>F322+F342+F371+F382+F344+F338</f>
        <v>170644941</v>
      </c>
      <c r="G321" s="29">
        <f>G322+G342+G371+G382</f>
        <v>7282700</v>
      </c>
      <c r="H321" s="29">
        <f>H322+H342+H371+H382</f>
        <v>12371790</v>
      </c>
      <c r="I321" s="29">
        <f>I322+I342+I371</f>
        <v>0</v>
      </c>
      <c r="J321" s="29">
        <f>J322+J324+J330+J334+J337+J340+J342+J345+J346+J353+J354+J362+J364+J367+J371+J378+J379+J380+J339+J332+J327+J365+J328</f>
        <v>347751656</v>
      </c>
      <c r="K321" s="29">
        <f>K322+K324+K330+K334+K337+K340+K342+K345+K346+K353+K354+K362+K364+K367+K371+K378+K379+K380+K339+K332+K327+K365+K328</f>
        <v>316315656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</f>
        <v>347751656</v>
      </c>
      <c r="P321" s="13">
        <f t="shared" si="59"/>
        <v>518396597</v>
      </c>
      <c r="Q321" s="109"/>
    </row>
    <row r="322" spans="1:17" ht="25.5" x14ac:dyDescent="0.2">
      <c r="A322" s="41" t="s">
        <v>381</v>
      </c>
      <c r="B322" s="4" t="s">
        <v>235</v>
      </c>
      <c r="C322" s="4" t="s">
        <v>163</v>
      </c>
      <c r="D322" s="14" t="s">
        <v>645</v>
      </c>
      <c r="E322" s="11">
        <f t="shared" ref="E322:E376" si="66">F322+I322</f>
        <v>11151990</v>
      </c>
      <c r="F322" s="12">
        <f>11207200-55210</f>
        <v>11151990</v>
      </c>
      <c r="G322" s="12">
        <f>3002700+1700000+2580000</f>
        <v>7282700</v>
      </c>
      <c r="H322" s="12">
        <f>127000-55210</f>
        <v>71790</v>
      </c>
      <c r="I322" s="12"/>
      <c r="J322" s="11">
        <f t="shared" ref="J322:J370" si="67">L322+O322</f>
        <v>895000</v>
      </c>
      <c r="K322" s="12">
        <f>680000+65000+150000</f>
        <v>895000</v>
      </c>
      <c r="L322" s="12"/>
      <c r="M322" s="12"/>
      <c r="N322" s="12"/>
      <c r="O322" s="12">
        <f t="shared" ref="O322:O354" si="68">K322</f>
        <v>895000</v>
      </c>
      <c r="P322" s="13">
        <f t="shared" ref="P322:P383" si="69">E322+J322</f>
        <v>12046990</v>
      </c>
    </row>
    <row r="323" spans="1:17" ht="16.5" hidden="1" customHeight="1" x14ac:dyDescent="0.2">
      <c r="A323" s="41" t="s">
        <v>382</v>
      </c>
      <c r="B323" s="20" t="s">
        <v>106</v>
      </c>
      <c r="C323" s="20" t="s">
        <v>179</v>
      </c>
      <c r="D323" s="5" t="s">
        <v>237</v>
      </c>
      <c r="E323" s="11">
        <f t="shared" si="66"/>
        <v>0</v>
      </c>
      <c r="F323" s="12"/>
      <c r="G323" s="12"/>
      <c r="H323" s="12"/>
      <c r="I323" s="12"/>
      <c r="J323" s="11">
        <f t="shared" si="67"/>
        <v>0</v>
      </c>
      <c r="K323" s="12">
        <f>250000-250000</f>
        <v>0</v>
      </c>
      <c r="L323" s="12"/>
      <c r="M323" s="12"/>
      <c r="N323" s="12"/>
      <c r="O323" s="12">
        <f t="shared" si="68"/>
        <v>0</v>
      </c>
      <c r="P323" s="13">
        <f t="shared" si="69"/>
        <v>0</v>
      </c>
    </row>
    <row r="324" spans="1:17" x14ac:dyDescent="0.2">
      <c r="A324" s="41" t="s">
        <v>674</v>
      </c>
      <c r="B324" s="98" t="s">
        <v>651</v>
      </c>
      <c r="C324" s="20" t="s">
        <v>180</v>
      </c>
      <c r="D324" s="21" t="s">
        <v>660</v>
      </c>
      <c r="E324" s="11">
        <f t="shared" si="66"/>
        <v>0</v>
      </c>
      <c r="F324" s="12"/>
      <c r="G324" s="12"/>
      <c r="H324" s="12"/>
      <c r="I324" s="12"/>
      <c r="J324" s="11">
        <f t="shared" si="67"/>
        <v>466126</v>
      </c>
      <c r="K324" s="12">
        <f>409800+10442+65000-19116</f>
        <v>466126</v>
      </c>
      <c r="L324" s="12"/>
      <c r="M324" s="12"/>
      <c r="N324" s="12"/>
      <c r="O324" s="12">
        <f t="shared" si="68"/>
        <v>466126</v>
      </c>
      <c r="P324" s="13">
        <f t="shared" si="69"/>
        <v>466126</v>
      </c>
    </row>
    <row r="325" spans="1:17" ht="38.25" hidden="1" x14ac:dyDescent="0.2">
      <c r="A325" s="41"/>
      <c r="B325" s="20"/>
      <c r="C325" s="20"/>
      <c r="D325" s="19" t="s">
        <v>608</v>
      </c>
      <c r="E325" s="11"/>
      <c r="F325" s="12"/>
      <c r="G325" s="12"/>
      <c r="H325" s="12"/>
      <c r="I325" s="12"/>
      <c r="J325" s="11">
        <f t="shared" si="67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570</v>
      </c>
      <c r="B326" s="20" t="s">
        <v>164</v>
      </c>
      <c r="C326" s="20" t="s">
        <v>181</v>
      </c>
      <c r="D326" s="21" t="s">
        <v>617</v>
      </c>
      <c r="E326" s="11">
        <f t="shared" si="66"/>
        <v>0</v>
      </c>
      <c r="F326" s="12"/>
      <c r="G326" s="12"/>
      <c r="H326" s="12"/>
      <c r="I326" s="12"/>
      <c r="J326" s="11">
        <f t="shared" si="67"/>
        <v>0</v>
      </c>
      <c r="K326" s="12"/>
      <c r="L326" s="12"/>
      <c r="M326" s="12"/>
      <c r="N326" s="12"/>
      <c r="O326" s="12">
        <f t="shared" si="68"/>
        <v>0</v>
      </c>
      <c r="P326" s="13">
        <f t="shared" si="69"/>
        <v>0</v>
      </c>
    </row>
    <row r="327" spans="1:17" ht="38.25" x14ac:dyDescent="0.2">
      <c r="A327" s="41" t="s">
        <v>22</v>
      </c>
      <c r="B327" s="20" t="s">
        <v>23</v>
      </c>
      <c r="C327" s="20" t="s">
        <v>182</v>
      </c>
      <c r="D327" s="5" t="s">
        <v>37</v>
      </c>
      <c r="E327" s="11">
        <f t="shared" si="66"/>
        <v>0</v>
      </c>
      <c r="F327" s="12"/>
      <c r="G327" s="12"/>
      <c r="H327" s="12"/>
      <c r="I327" s="12"/>
      <c r="J327" s="11">
        <f t="shared" si="67"/>
        <v>4286460</v>
      </c>
      <c r="K327" s="12">
        <f>3598681+687779</f>
        <v>4286460</v>
      </c>
      <c r="L327" s="12"/>
      <c r="M327" s="12"/>
      <c r="N327" s="12"/>
      <c r="O327" s="12">
        <f t="shared" si="68"/>
        <v>4286460</v>
      </c>
      <c r="P327" s="13">
        <f t="shared" si="69"/>
        <v>4286460</v>
      </c>
    </row>
    <row r="328" spans="1:17" ht="25.5" x14ac:dyDescent="0.2">
      <c r="A328" s="41" t="s">
        <v>691</v>
      </c>
      <c r="B328" s="20" t="s">
        <v>690</v>
      </c>
      <c r="C328" s="20" t="s">
        <v>182</v>
      </c>
      <c r="D328" s="5" t="s">
        <v>692</v>
      </c>
      <c r="E328" s="11"/>
      <c r="F328" s="12"/>
      <c r="G328" s="12"/>
      <c r="H328" s="12"/>
      <c r="I328" s="12"/>
      <c r="J328" s="11">
        <f>L328+O328</f>
        <v>10000000</v>
      </c>
      <c r="K328" s="12">
        <v>10000000</v>
      </c>
      <c r="L328" s="12"/>
      <c r="M328" s="12"/>
      <c r="N328" s="12"/>
      <c r="O328" s="12">
        <f>K328</f>
        <v>10000000</v>
      </c>
      <c r="P328" s="13">
        <f t="shared" si="69"/>
        <v>10000000</v>
      </c>
    </row>
    <row r="329" spans="1:17" s="1" customFormat="1" ht="25.5" x14ac:dyDescent="0.2">
      <c r="A329" s="36"/>
      <c r="B329" s="22"/>
      <c r="C329" s="22"/>
      <c r="D329" s="24" t="s">
        <v>693</v>
      </c>
      <c r="E329" s="10"/>
      <c r="F329" s="17"/>
      <c r="G329" s="17"/>
      <c r="H329" s="17"/>
      <c r="I329" s="17"/>
      <c r="J329" s="10">
        <f>L329+O329</f>
        <v>10000000</v>
      </c>
      <c r="K329" s="17">
        <v>10000000</v>
      </c>
      <c r="L329" s="17"/>
      <c r="M329" s="17"/>
      <c r="N329" s="17"/>
      <c r="O329" s="17">
        <f>K329</f>
        <v>10000000</v>
      </c>
      <c r="P329" s="16">
        <f t="shared" si="69"/>
        <v>10000000</v>
      </c>
    </row>
    <row r="330" spans="1:17" x14ac:dyDescent="0.2">
      <c r="A330" s="41" t="s">
        <v>401</v>
      </c>
      <c r="B330" s="4" t="s">
        <v>80</v>
      </c>
      <c r="C330" s="4" t="s">
        <v>53</v>
      </c>
      <c r="D330" s="5" t="s">
        <v>137</v>
      </c>
      <c r="E330" s="11">
        <f>F330+I330</f>
        <v>0</v>
      </c>
      <c r="F330" s="12"/>
      <c r="G330" s="12"/>
      <c r="H330" s="12"/>
      <c r="I330" s="12"/>
      <c r="J330" s="11">
        <f t="shared" si="67"/>
        <v>869948</v>
      </c>
      <c r="K330" s="12">
        <f>619948+250000</f>
        <v>869948</v>
      </c>
      <c r="L330" s="12"/>
      <c r="M330" s="12"/>
      <c r="N330" s="12"/>
      <c r="O330" s="12">
        <f t="shared" si="68"/>
        <v>869948</v>
      </c>
      <c r="P330" s="13">
        <f t="shared" si="69"/>
        <v>869948</v>
      </c>
    </row>
    <row r="331" spans="1:17" s="1" customFormat="1" hidden="1" x14ac:dyDescent="0.2">
      <c r="A331" s="36"/>
      <c r="B331" s="3"/>
      <c r="C331" s="3"/>
      <c r="D331" s="24" t="s">
        <v>519</v>
      </c>
      <c r="E331" s="10"/>
      <c r="F331" s="17"/>
      <c r="G331" s="17"/>
      <c r="H331" s="17"/>
      <c r="I331" s="17"/>
      <c r="J331" s="10">
        <f t="shared" si="67"/>
        <v>0</v>
      </c>
      <c r="K331" s="17"/>
      <c r="L331" s="17"/>
      <c r="M331" s="17"/>
      <c r="N331" s="17"/>
      <c r="O331" s="17">
        <f t="shared" si="68"/>
        <v>0</v>
      </c>
      <c r="P331" s="13">
        <f t="shared" si="69"/>
        <v>0</v>
      </c>
    </row>
    <row r="332" spans="1:17" x14ac:dyDescent="0.2">
      <c r="A332" s="41" t="s">
        <v>547</v>
      </c>
      <c r="B332" s="4" t="s">
        <v>245</v>
      </c>
      <c r="C332" s="4" t="s">
        <v>54</v>
      </c>
      <c r="D332" s="5" t="s">
        <v>139</v>
      </c>
      <c r="E332" s="11">
        <f t="shared" si="66"/>
        <v>0</v>
      </c>
      <c r="F332" s="12"/>
      <c r="G332" s="12"/>
      <c r="H332" s="12"/>
      <c r="I332" s="12"/>
      <c r="J332" s="11">
        <f t="shared" si="67"/>
        <v>890000</v>
      </c>
      <c r="K332" s="12">
        <f>290000+600000</f>
        <v>890000</v>
      </c>
      <c r="L332" s="12"/>
      <c r="M332" s="12"/>
      <c r="N332" s="12"/>
      <c r="O332" s="12">
        <f t="shared" si="68"/>
        <v>890000</v>
      </c>
      <c r="P332" s="13">
        <f t="shared" si="69"/>
        <v>890000</v>
      </c>
    </row>
    <row r="333" spans="1:17" hidden="1" x14ac:dyDescent="0.2">
      <c r="A333" s="41" t="s">
        <v>402</v>
      </c>
      <c r="B333" s="4" t="s">
        <v>253</v>
      </c>
      <c r="C333" s="4"/>
      <c r="D333" s="14" t="s">
        <v>465</v>
      </c>
      <c r="E333" s="11">
        <f t="shared" si="66"/>
        <v>0</v>
      </c>
      <c r="F333" s="12">
        <f>F334</f>
        <v>0</v>
      </c>
      <c r="G333" s="12">
        <f>G334</f>
        <v>0</v>
      </c>
      <c r="H333" s="12">
        <f>H334</f>
        <v>0</v>
      </c>
      <c r="I333" s="12">
        <f>I334</f>
        <v>0</v>
      </c>
      <c r="J333" s="11">
        <f t="shared" si="67"/>
        <v>0</v>
      </c>
      <c r="K333" s="12"/>
      <c r="L333" s="12">
        <f>L334</f>
        <v>0</v>
      </c>
      <c r="M333" s="12">
        <f>M334</f>
        <v>0</v>
      </c>
      <c r="N333" s="12">
        <f>N334</f>
        <v>0</v>
      </c>
      <c r="O333" s="12">
        <f t="shared" si="68"/>
        <v>0</v>
      </c>
      <c r="P333" s="13">
        <f t="shared" si="69"/>
        <v>0</v>
      </c>
    </row>
    <row r="334" spans="1:17" s="1" customFormat="1" ht="25.5" x14ac:dyDescent="0.2">
      <c r="A334" s="36" t="s">
        <v>403</v>
      </c>
      <c r="B334" s="3" t="s">
        <v>256</v>
      </c>
      <c r="C334" s="3" t="s">
        <v>491</v>
      </c>
      <c r="D334" s="15" t="s">
        <v>255</v>
      </c>
      <c r="E334" s="10">
        <f t="shared" si="66"/>
        <v>0</v>
      </c>
      <c r="F334" s="17"/>
      <c r="G334" s="17"/>
      <c r="H334" s="17"/>
      <c r="I334" s="17"/>
      <c r="J334" s="10">
        <f t="shared" si="67"/>
        <v>3000</v>
      </c>
      <c r="K334" s="17">
        <v>3000</v>
      </c>
      <c r="L334" s="17"/>
      <c r="M334" s="17"/>
      <c r="N334" s="17"/>
      <c r="O334" s="12">
        <f t="shared" si="68"/>
        <v>3000</v>
      </c>
      <c r="P334" s="16">
        <f t="shared" si="69"/>
        <v>3000</v>
      </c>
    </row>
    <row r="335" spans="1:17" ht="25.5" hidden="1" x14ac:dyDescent="0.2">
      <c r="A335" s="41" t="s">
        <v>567</v>
      </c>
      <c r="B335" s="4" t="s">
        <v>100</v>
      </c>
      <c r="C335" s="20" t="s">
        <v>113</v>
      </c>
      <c r="D335" s="21" t="s">
        <v>332</v>
      </c>
      <c r="E335" s="11">
        <f t="shared" si="66"/>
        <v>0</v>
      </c>
      <c r="F335" s="12"/>
      <c r="G335" s="12"/>
      <c r="H335" s="12"/>
      <c r="I335" s="12"/>
      <c r="J335" s="11">
        <f t="shared" si="67"/>
        <v>0</v>
      </c>
      <c r="K335" s="12"/>
      <c r="L335" s="12"/>
      <c r="M335" s="12"/>
      <c r="N335" s="12"/>
      <c r="O335" s="12">
        <f t="shared" si="68"/>
        <v>0</v>
      </c>
      <c r="P335" s="13">
        <f t="shared" si="69"/>
        <v>0</v>
      </c>
    </row>
    <row r="336" spans="1:17" ht="25.5" hidden="1" x14ac:dyDescent="0.2">
      <c r="A336" s="41" t="s">
        <v>597</v>
      </c>
      <c r="B336" s="4" t="s">
        <v>185</v>
      </c>
      <c r="C336" s="22" t="s">
        <v>52</v>
      </c>
      <c r="D336" s="5" t="s">
        <v>135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ht="25.5" x14ac:dyDescent="0.2">
      <c r="A337" s="41" t="s">
        <v>623</v>
      </c>
      <c r="B337" s="4" t="s">
        <v>621</v>
      </c>
      <c r="C337" s="22" t="s">
        <v>52</v>
      </c>
      <c r="D337" s="5" t="s">
        <v>622</v>
      </c>
      <c r="E337" s="11"/>
      <c r="F337" s="12"/>
      <c r="G337" s="12"/>
      <c r="H337" s="12"/>
      <c r="I337" s="12"/>
      <c r="J337" s="11">
        <f>L337+O337</f>
        <v>5999357</v>
      </c>
      <c r="K337" s="12">
        <f>5989357+10000</f>
        <v>5999357</v>
      </c>
      <c r="L337" s="12"/>
      <c r="M337" s="12"/>
      <c r="N337" s="12"/>
      <c r="O337" s="12">
        <f>K337</f>
        <v>5999357</v>
      </c>
      <c r="P337" s="13">
        <f>E337+J337</f>
        <v>5999357</v>
      </c>
    </row>
    <row r="338" spans="1:16" x14ac:dyDescent="0.2">
      <c r="A338" s="41" t="s">
        <v>21</v>
      </c>
      <c r="B338" s="4" t="s">
        <v>500</v>
      </c>
      <c r="C338" s="22" t="s">
        <v>116</v>
      </c>
      <c r="D338" s="5" t="s">
        <v>501</v>
      </c>
      <c r="E338" s="11">
        <f>F338</f>
        <v>1810000</v>
      </c>
      <c r="F338" s="12">
        <f>280000+1100000+430000</f>
        <v>1810000</v>
      </c>
      <c r="G338" s="12"/>
      <c r="H338" s="12"/>
      <c r="I338" s="12"/>
      <c r="J338" s="11"/>
      <c r="K338" s="12"/>
      <c r="L338" s="12"/>
      <c r="M338" s="12"/>
      <c r="N338" s="12"/>
      <c r="O338" s="12"/>
      <c r="P338" s="13">
        <f>E338+J338</f>
        <v>1810000</v>
      </c>
    </row>
    <row r="339" spans="1:16" x14ac:dyDescent="0.2">
      <c r="A339" s="41" t="s">
        <v>18</v>
      </c>
      <c r="B339" s="4" t="s">
        <v>347</v>
      </c>
      <c r="C339" s="22" t="s">
        <v>116</v>
      </c>
      <c r="D339" s="5" t="s">
        <v>349</v>
      </c>
      <c r="E339" s="11"/>
      <c r="F339" s="12"/>
      <c r="G339" s="12"/>
      <c r="H339" s="12"/>
      <c r="I339" s="12"/>
      <c r="J339" s="11">
        <f>L339+O339</f>
        <v>150000</v>
      </c>
      <c r="K339" s="12">
        <f>200000-50000</f>
        <v>150000</v>
      </c>
      <c r="L339" s="12"/>
      <c r="M339" s="12"/>
      <c r="N339" s="12"/>
      <c r="O339" s="12">
        <f>K339</f>
        <v>150000</v>
      </c>
      <c r="P339" s="13">
        <f>E339+J339</f>
        <v>150000</v>
      </c>
    </row>
    <row r="340" spans="1:16" ht="25.5" x14ac:dyDescent="0.2">
      <c r="A340" s="41" t="s">
        <v>10</v>
      </c>
      <c r="B340" s="4" t="s">
        <v>399</v>
      </c>
      <c r="C340" s="4" t="s">
        <v>116</v>
      </c>
      <c r="D340" s="21" t="s">
        <v>400</v>
      </c>
      <c r="E340" s="11">
        <f>F340+I340</f>
        <v>0</v>
      </c>
      <c r="F340" s="12"/>
      <c r="G340" s="12"/>
      <c r="H340" s="12"/>
      <c r="I340" s="12"/>
      <c r="J340" s="11">
        <f>L340+O340</f>
        <v>625000</v>
      </c>
      <c r="K340" s="12">
        <v>625000</v>
      </c>
      <c r="L340" s="12"/>
      <c r="M340" s="12"/>
      <c r="N340" s="12"/>
      <c r="O340" s="12">
        <f>K340</f>
        <v>625000</v>
      </c>
      <c r="P340" s="13">
        <f>E340+J340</f>
        <v>625000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404</v>
      </c>
      <c r="B342" s="20" t="s">
        <v>351</v>
      </c>
      <c r="C342" s="20" t="s">
        <v>116</v>
      </c>
      <c r="D342" s="21" t="s">
        <v>350</v>
      </c>
      <c r="E342" s="11">
        <f t="shared" si="66"/>
        <v>77049974</v>
      </c>
      <c r="F342" s="30">
        <f>74229974+20000+2800000</f>
        <v>77049974</v>
      </c>
      <c r="G342" s="30"/>
      <c r="H342" s="30">
        <f>9500000+2800000</f>
        <v>12300000</v>
      </c>
      <c r="I342" s="30"/>
      <c r="J342" s="11">
        <f t="shared" si="67"/>
        <v>10670526</v>
      </c>
      <c r="K342" s="30">
        <f>10520526+150000</f>
        <v>10670526</v>
      </c>
      <c r="L342" s="30"/>
      <c r="M342" s="30"/>
      <c r="N342" s="30"/>
      <c r="O342" s="12">
        <f t="shared" si="68"/>
        <v>10670526</v>
      </c>
      <c r="P342" s="13">
        <f t="shared" si="69"/>
        <v>87720500</v>
      </c>
    </row>
    <row r="343" spans="1:16" ht="25.5" hidden="1" x14ac:dyDescent="0.2">
      <c r="A343" s="41"/>
      <c r="B343" s="20"/>
      <c r="C343" s="20"/>
      <c r="D343" s="19" t="s">
        <v>554</v>
      </c>
      <c r="E343" s="10">
        <f>F343</f>
        <v>0</v>
      </c>
      <c r="F343" s="110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9"/>
        <v>0</v>
      </c>
    </row>
    <row r="344" spans="1:16" x14ac:dyDescent="0.2">
      <c r="A344" s="41" t="s">
        <v>19</v>
      </c>
      <c r="B344" s="20" t="s">
        <v>355</v>
      </c>
      <c r="C344" s="20" t="s">
        <v>116</v>
      </c>
      <c r="D344" s="5" t="s">
        <v>20</v>
      </c>
      <c r="E344" s="11">
        <f t="shared" si="66"/>
        <v>675000</v>
      </c>
      <c r="F344" s="30">
        <f>300000+145000+230000</f>
        <v>675000</v>
      </c>
      <c r="G344" s="30"/>
      <c r="H344" s="30"/>
      <c r="I344" s="30"/>
      <c r="J344" s="11">
        <f t="shared" si="67"/>
        <v>0</v>
      </c>
      <c r="K344" s="30"/>
      <c r="L344" s="30"/>
      <c r="M344" s="30"/>
      <c r="N344" s="30"/>
      <c r="O344" s="12">
        <f>K344</f>
        <v>0</v>
      </c>
      <c r="P344" s="13">
        <f>E344+J344</f>
        <v>675000</v>
      </c>
    </row>
    <row r="345" spans="1:16" x14ac:dyDescent="0.2">
      <c r="A345" s="41" t="s">
        <v>606</v>
      </c>
      <c r="B345" s="81" t="s">
        <v>378</v>
      </c>
      <c r="C345" s="81" t="s">
        <v>208</v>
      </c>
      <c r="D345" s="5" t="s">
        <v>377</v>
      </c>
      <c r="E345" s="11">
        <f>F345+I345</f>
        <v>0</v>
      </c>
      <c r="F345" s="12"/>
      <c r="G345" s="12"/>
      <c r="H345" s="12"/>
      <c r="I345" s="12"/>
      <c r="J345" s="11">
        <f>L345+O345</f>
        <v>900000</v>
      </c>
      <c r="K345" s="12">
        <f>500000+400000</f>
        <v>900000</v>
      </c>
      <c r="L345" s="12"/>
      <c r="M345" s="12"/>
      <c r="N345" s="12"/>
      <c r="O345" s="12">
        <f>K345</f>
        <v>900000</v>
      </c>
      <c r="P345" s="13">
        <f>E345+J345</f>
        <v>900000</v>
      </c>
    </row>
    <row r="346" spans="1:16" x14ac:dyDescent="0.2">
      <c r="A346" s="41" t="s">
        <v>408</v>
      </c>
      <c r="B346" s="4" t="s">
        <v>406</v>
      </c>
      <c r="C346" s="4" t="s">
        <v>407</v>
      </c>
      <c r="D346" s="14" t="s">
        <v>405</v>
      </c>
      <c r="E346" s="11">
        <f t="shared" si="66"/>
        <v>0</v>
      </c>
      <c r="F346" s="12"/>
      <c r="G346" s="12"/>
      <c r="H346" s="12"/>
      <c r="I346" s="12"/>
      <c r="J346" s="11">
        <f t="shared" si="67"/>
        <v>34132462</v>
      </c>
      <c r="K346" s="12">
        <f>35591061-970000+600000-1088599</f>
        <v>34132462</v>
      </c>
      <c r="L346" s="12"/>
      <c r="M346" s="12"/>
      <c r="N346" s="12"/>
      <c r="O346" s="12">
        <f t="shared" si="68"/>
        <v>34132462</v>
      </c>
      <c r="P346" s="13">
        <f t="shared" si="69"/>
        <v>34132462</v>
      </c>
    </row>
    <row r="347" spans="1:16" s="1" customFormat="1" ht="25.5" hidden="1" x14ac:dyDescent="0.2">
      <c r="A347" s="36"/>
      <c r="B347" s="3"/>
      <c r="C347" s="3"/>
      <c r="D347" s="19" t="s">
        <v>554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9"/>
        <v>0</v>
      </c>
    </row>
    <row r="348" spans="1:16" s="1" customFormat="1" ht="12.6" customHeight="1" x14ac:dyDescent="0.2">
      <c r="A348" s="36"/>
      <c r="B348" s="3"/>
      <c r="C348" s="3"/>
      <c r="D348" s="19" t="s">
        <v>519</v>
      </c>
      <c r="E348" s="10"/>
      <c r="F348" s="17"/>
      <c r="G348" s="17"/>
      <c r="H348" s="17"/>
      <c r="I348" s="17"/>
      <c r="J348" s="10">
        <f t="shared" si="67"/>
        <v>6700000</v>
      </c>
      <c r="K348" s="17">
        <f>6700000</f>
        <v>6700000</v>
      </c>
      <c r="L348" s="17"/>
      <c r="M348" s="17"/>
      <c r="N348" s="17"/>
      <c r="O348" s="17">
        <f>K348</f>
        <v>6700000</v>
      </c>
      <c r="P348" s="16">
        <f>E348+J348</f>
        <v>6700000</v>
      </c>
    </row>
    <row r="349" spans="1:16" hidden="1" x14ac:dyDescent="0.2">
      <c r="A349" s="41" t="s">
        <v>411</v>
      </c>
      <c r="B349" s="4" t="s">
        <v>410</v>
      </c>
      <c r="C349" s="4"/>
      <c r="D349" s="21" t="s">
        <v>409</v>
      </c>
      <c r="E349" s="11">
        <f t="shared" si="66"/>
        <v>0</v>
      </c>
      <c r="F349" s="12"/>
      <c r="G349" s="12"/>
      <c r="H349" s="12"/>
      <c r="I349" s="12"/>
      <c r="J349" s="11">
        <f t="shared" si="67"/>
        <v>0</v>
      </c>
      <c r="K349" s="12"/>
      <c r="L349" s="12">
        <f>SUM(L352:L354)</f>
        <v>0</v>
      </c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607</v>
      </c>
      <c r="E350" s="10"/>
      <c r="F350" s="17"/>
      <c r="G350" s="17"/>
      <c r="H350" s="17"/>
      <c r="I350" s="17"/>
      <c r="J350" s="11">
        <f t="shared" si="67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519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415</v>
      </c>
      <c r="B352" s="3" t="s">
        <v>412</v>
      </c>
      <c r="C352" s="3" t="s">
        <v>407</v>
      </c>
      <c r="D352" s="19" t="s">
        <v>418</v>
      </c>
      <c r="E352" s="11">
        <f t="shared" si="66"/>
        <v>0</v>
      </c>
      <c r="F352" s="17"/>
      <c r="G352" s="17"/>
      <c r="H352" s="17"/>
      <c r="I352" s="17"/>
      <c r="J352" s="11">
        <f t="shared" si="67"/>
        <v>0</v>
      </c>
      <c r="K352" s="17"/>
      <c r="L352" s="17"/>
      <c r="M352" s="17"/>
      <c r="N352" s="17"/>
      <c r="O352" s="12">
        <f t="shared" si="68"/>
        <v>0</v>
      </c>
      <c r="P352" s="13">
        <f t="shared" si="69"/>
        <v>0</v>
      </c>
    </row>
    <row r="353" spans="1:16" s="1" customFormat="1" x14ac:dyDescent="0.2">
      <c r="A353" s="36" t="s">
        <v>416</v>
      </c>
      <c r="B353" s="3" t="s">
        <v>413</v>
      </c>
      <c r="C353" s="3" t="s">
        <v>407</v>
      </c>
      <c r="D353" s="19" t="s">
        <v>419</v>
      </c>
      <c r="E353" s="11">
        <f t="shared" si="66"/>
        <v>0</v>
      </c>
      <c r="F353" s="17"/>
      <c r="G353" s="17"/>
      <c r="H353" s="17"/>
      <c r="I353" s="17"/>
      <c r="J353" s="11">
        <f t="shared" si="67"/>
        <v>28916</v>
      </c>
      <c r="K353" s="17">
        <f>70000-41084</f>
        <v>28916</v>
      </c>
      <c r="L353" s="17"/>
      <c r="M353" s="17"/>
      <c r="N353" s="17"/>
      <c r="O353" s="12">
        <f t="shared" si="68"/>
        <v>28916</v>
      </c>
      <c r="P353" s="13">
        <f t="shared" si="69"/>
        <v>28916</v>
      </c>
    </row>
    <row r="354" spans="1:16" s="1" customFormat="1" x14ac:dyDescent="0.2">
      <c r="A354" s="36" t="s">
        <v>417</v>
      </c>
      <c r="B354" s="3" t="s">
        <v>414</v>
      </c>
      <c r="C354" s="3" t="s">
        <v>407</v>
      </c>
      <c r="D354" s="19" t="s">
        <v>420</v>
      </c>
      <c r="E354" s="11">
        <f t="shared" si="66"/>
        <v>0</v>
      </c>
      <c r="F354" s="17"/>
      <c r="G354" s="17"/>
      <c r="H354" s="17"/>
      <c r="I354" s="17"/>
      <c r="J354" s="11">
        <f t="shared" si="67"/>
        <v>91725630</v>
      </c>
      <c r="K354" s="17">
        <f>35005000-13279370-10000000+80000000</f>
        <v>91725630</v>
      </c>
      <c r="L354" s="17"/>
      <c r="M354" s="17"/>
      <c r="N354" s="17"/>
      <c r="O354" s="12">
        <f t="shared" si="68"/>
        <v>91725630</v>
      </c>
      <c r="P354" s="13">
        <f t="shared" si="69"/>
        <v>91725630</v>
      </c>
    </row>
    <row r="355" spans="1:16" ht="25.5" hidden="1" x14ac:dyDescent="0.2">
      <c r="A355" s="41">
        <v>4713100</v>
      </c>
      <c r="B355" s="4" t="s">
        <v>197</v>
      </c>
      <c r="C355" s="4"/>
      <c r="D355" s="21" t="s">
        <v>64</v>
      </c>
      <c r="E355" s="11">
        <f>E356</f>
        <v>0</v>
      </c>
      <c r="F355" s="11">
        <f t="shared" ref="F355:O355" si="70">F356</f>
        <v>0</v>
      </c>
      <c r="G355" s="11">
        <f t="shared" si="70"/>
        <v>0</v>
      </c>
      <c r="H355" s="11">
        <f t="shared" si="70"/>
        <v>0</v>
      </c>
      <c r="I355" s="11">
        <f t="shared" si="70"/>
        <v>0</v>
      </c>
      <c r="J355" s="11">
        <f t="shared" si="67"/>
        <v>0</v>
      </c>
      <c r="K355" s="11"/>
      <c r="L355" s="11">
        <f t="shared" si="70"/>
        <v>0</v>
      </c>
      <c r="M355" s="11">
        <f t="shared" si="70"/>
        <v>0</v>
      </c>
      <c r="N355" s="11">
        <f t="shared" si="70"/>
        <v>0</v>
      </c>
      <c r="O355" s="11">
        <f t="shared" si="70"/>
        <v>0</v>
      </c>
      <c r="P355" s="13">
        <f t="shared" si="69"/>
        <v>0</v>
      </c>
    </row>
    <row r="356" spans="1:16" s="1" customFormat="1" hidden="1" x14ac:dyDescent="0.2">
      <c r="A356" s="36">
        <v>4713105</v>
      </c>
      <c r="B356" s="3" t="s">
        <v>99</v>
      </c>
      <c r="C356" s="3" t="s">
        <v>106</v>
      </c>
      <c r="D356" s="24" t="s">
        <v>152</v>
      </c>
      <c r="E356" s="10">
        <f>F356+I356</f>
        <v>0</v>
      </c>
      <c r="F356" s="33"/>
      <c r="G356" s="33"/>
      <c r="H356" s="33"/>
      <c r="I356" s="33"/>
      <c r="J356" s="11">
        <f t="shared" si="67"/>
        <v>0</v>
      </c>
      <c r="K356" s="17"/>
      <c r="L356" s="33"/>
      <c r="M356" s="33"/>
      <c r="N356" s="33"/>
      <c r="O356" s="17">
        <f>K356</f>
        <v>0</v>
      </c>
      <c r="P356" s="13">
        <f t="shared" si="69"/>
        <v>0</v>
      </c>
    </row>
    <row r="357" spans="1:16" hidden="1" x14ac:dyDescent="0.2">
      <c r="A357" s="41">
        <v>4715040</v>
      </c>
      <c r="B357" s="20" t="s">
        <v>186</v>
      </c>
      <c r="C357" s="20"/>
      <c r="D357" s="5" t="s">
        <v>187</v>
      </c>
      <c r="E357" s="11">
        <f>E358</f>
        <v>0</v>
      </c>
      <c r="F357" s="11">
        <f t="shared" ref="F357:O357" si="71">F358</f>
        <v>0</v>
      </c>
      <c r="G357" s="11">
        <f t="shared" si="71"/>
        <v>0</v>
      </c>
      <c r="H357" s="11">
        <f t="shared" si="71"/>
        <v>0</v>
      </c>
      <c r="I357" s="11">
        <f t="shared" si="71"/>
        <v>0</v>
      </c>
      <c r="J357" s="11">
        <f t="shared" si="67"/>
        <v>0</v>
      </c>
      <c r="K357" s="11"/>
      <c r="L357" s="11">
        <f t="shared" si="71"/>
        <v>0</v>
      </c>
      <c r="M357" s="11">
        <f t="shared" si="71"/>
        <v>0</v>
      </c>
      <c r="N357" s="11">
        <f t="shared" si="71"/>
        <v>0</v>
      </c>
      <c r="O357" s="11">
        <f t="shared" si="71"/>
        <v>0</v>
      </c>
      <c r="P357" s="13">
        <f t="shared" si="69"/>
        <v>0</v>
      </c>
    </row>
    <row r="358" spans="1:16" hidden="1" x14ac:dyDescent="0.2">
      <c r="A358" s="74">
        <v>4715041</v>
      </c>
      <c r="B358" s="22" t="s">
        <v>188</v>
      </c>
      <c r="C358" s="22" t="s">
        <v>52</v>
      </c>
      <c r="D358" s="24" t="s">
        <v>189</v>
      </c>
      <c r="E358" s="11">
        <f>F358+I358</f>
        <v>0</v>
      </c>
      <c r="F358" s="33"/>
      <c r="G358" s="33"/>
      <c r="H358" s="33"/>
      <c r="I358" s="33"/>
      <c r="J358" s="11">
        <f t="shared" si="67"/>
        <v>0</v>
      </c>
      <c r="K358" s="12"/>
      <c r="L358" s="33"/>
      <c r="M358" s="33"/>
      <c r="N358" s="33"/>
      <c r="O358" s="17">
        <f>K358</f>
        <v>0</v>
      </c>
      <c r="P358" s="13">
        <f t="shared" si="69"/>
        <v>0</v>
      </c>
    </row>
    <row r="359" spans="1:16" hidden="1" x14ac:dyDescent="0.2">
      <c r="A359" s="41">
        <v>4716050</v>
      </c>
      <c r="B359" s="4" t="s">
        <v>198</v>
      </c>
      <c r="C359" s="4"/>
      <c r="D359" s="47" t="s">
        <v>126</v>
      </c>
      <c r="E359" s="11">
        <f t="shared" si="66"/>
        <v>0</v>
      </c>
      <c r="F359" s="30"/>
      <c r="G359" s="30"/>
      <c r="H359" s="30"/>
      <c r="I359" s="30"/>
      <c r="J359" s="11">
        <f t="shared" si="67"/>
        <v>0</v>
      </c>
      <c r="K359" s="30"/>
      <c r="L359" s="30"/>
      <c r="M359" s="30"/>
      <c r="N359" s="30"/>
      <c r="O359" s="30">
        <f>O360</f>
        <v>0</v>
      </c>
      <c r="P359" s="13">
        <f t="shared" si="69"/>
        <v>0</v>
      </c>
    </row>
    <row r="360" spans="1:16" s="1" customFormat="1" hidden="1" x14ac:dyDescent="0.2">
      <c r="A360" s="36">
        <v>4716051</v>
      </c>
      <c r="B360" s="3" t="s">
        <v>102</v>
      </c>
      <c r="C360" s="3" t="s">
        <v>116</v>
      </c>
      <c r="D360" s="90" t="s">
        <v>127</v>
      </c>
      <c r="E360" s="11">
        <f t="shared" si="66"/>
        <v>0</v>
      </c>
      <c r="F360" s="33"/>
      <c r="G360" s="33"/>
      <c r="H360" s="33"/>
      <c r="I360" s="33"/>
      <c r="J360" s="11">
        <f t="shared" si="67"/>
        <v>0</v>
      </c>
      <c r="K360" s="33"/>
      <c r="L360" s="33"/>
      <c r="M360" s="33"/>
      <c r="N360" s="33"/>
      <c r="O360" s="17">
        <f t="shared" ref="O360:O368" si="72">K360</f>
        <v>0</v>
      </c>
      <c r="P360" s="13">
        <f t="shared" si="69"/>
        <v>0</v>
      </c>
    </row>
    <row r="361" spans="1:16" s="1" customFormat="1" ht="25.5" x14ac:dyDescent="0.2">
      <c r="A361" s="36"/>
      <c r="B361" s="3"/>
      <c r="C361" s="3"/>
      <c r="D361" s="69" t="s">
        <v>46</v>
      </c>
      <c r="E361" s="11"/>
      <c r="F361" s="33"/>
      <c r="G361" s="33"/>
      <c r="H361" s="33"/>
      <c r="I361" s="33"/>
      <c r="J361" s="10">
        <f t="shared" si="67"/>
        <v>80000000</v>
      </c>
      <c r="K361" s="33">
        <v>80000000</v>
      </c>
      <c r="L361" s="33"/>
      <c r="M361" s="33"/>
      <c r="N361" s="33"/>
      <c r="O361" s="33">
        <f>K361</f>
        <v>80000000</v>
      </c>
      <c r="P361" s="13">
        <f t="shared" si="69"/>
        <v>80000000</v>
      </c>
    </row>
    <row r="362" spans="1:16" ht="15.75" customHeight="1" x14ac:dyDescent="0.2">
      <c r="A362" s="41" t="s">
        <v>513</v>
      </c>
      <c r="B362" s="4" t="s">
        <v>514</v>
      </c>
      <c r="C362" s="4" t="s">
        <v>407</v>
      </c>
      <c r="D362" s="21" t="s">
        <v>596</v>
      </c>
      <c r="E362" s="11">
        <f t="shared" si="66"/>
        <v>0</v>
      </c>
      <c r="F362" s="12"/>
      <c r="G362" s="12"/>
      <c r="H362" s="12"/>
      <c r="I362" s="12"/>
      <c r="J362" s="11">
        <f t="shared" si="67"/>
        <v>11964390</v>
      </c>
      <c r="K362" s="12">
        <f>8464390+550000+2950000</f>
        <v>11964390</v>
      </c>
      <c r="L362" s="12"/>
      <c r="M362" s="12"/>
      <c r="N362" s="12"/>
      <c r="O362" s="12">
        <f>K362</f>
        <v>11964390</v>
      </c>
      <c r="P362" s="13">
        <f t="shared" si="69"/>
        <v>11964390</v>
      </c>
    </row>
    <row r="363" spans="1:16" ht="27.75" hidden="1" customHeight="1" x14ac:dyDescent="0.2">
      <c r="A363" s="41" t="s">
        <v>527</v>
      </c>
      <c r="B363" s="4" t="s">
        <v>528</v>
      </c>
      <c r="C363" s="4"/>
      <c r="D363" s="21" t="s">
        <v>529</v>
      </c>
      <c r="E363" s="11">
        <f t="shared" si="66"/>
        <v>0</v>
      </c>
      <c r="F363" s="12"/>
      <c r="G363" s="12"/>
      <c r="H363" s="12"/>
      <c r="I363" s="12"/>
      <c r="J363" s="11">
        <f t="shared" si="67"/>
        <v>0</v>
      </c>
      <c r="K363" s="12"/>
      <c r="L363" s="12"/>
      <c r="M363" s="12"/>
      <c r="N363" s="12"/>
      <c r="O363" s="12">
        <f t="shared" si="72"/>
        <v>0</v>
      </c>
      <c r="P363" s="13">
        <f t="shared" si="69"/>
        <v>0</v>
      </c>
    </row>
    <row r="364" spans="1:16" s="1" customFormat="1" ht="25.5" x14ac:dyDescent="0.2">
      <c r="A364" s="36" t="s">
        <v>530</v>
      </c>
      <c r="B364" s="3" t="s">
        <v>531</v>
      </c>
      <c r="C364" s="3" t="s">
        <v>169</v>
      </c>
      <c r="D364" s="19" t="s">
        <v>532</v>
      </c>
      <c r="E364" s="10">
        <f t="shared" si="66"/>
        <v>0</v>
      </c>
      <c r="F364" s="17"/>
      <c r="G364" s="17"/>
      <c r="H364" s="17"/>
      <c r="I364" s="17"/>
      <c r="J364" s="10">
        <f t="shared" si="67"/>
        <v>3492976</v>
      </c>
      <c r="K364" s="17">
        <f>2500000+992976</f>
        <v>3492976</v>
      </c>
      <c r="L364" s="17"/>
      <c r="M364" s="17"/>
      <c r="N364" s="17"/>
      <c r="O364" s="17">
        <f t="shared" si="72"/>
        <v>3492976</v>
      </c>
      <c r="P364" s="16">
        <f t="shared" si="69"/>
        <v>3492976</v>
      </c>
    </row>
    <row r="365" spans="1:16" ht="25.5" x14ac:dyDescent="0.2">
      <c r="A365" s="41" t="s">
        <v>555</v>
      </c>
      <c r="B365" s="4" t="s">
        <v>552</v>
      </c>
      <c r="C365" s="4" t="s">
        <v>169</v>
      </c>
      <c r="D365" s="21" t="s">
        <v>553</v>
      </c>
      <c r="E365" s="11">
        <f t="shared" si="66"/>
        <v>0</v>
      </c>
      <c r="F365" s="12"/>
      <c r="G365" s="12"/>
      <c r="H365" s="12"/>
      <c r="I365" s="12"/>
      <c r="J365" s="11">
        <f t="shared" si="67"/>
        <v>11088599</v>
      </c>
      <c r="K365" s="12">
        <f>10000000+1088599</f>
        <v>11088599</v>
      </c>
      <c r="L365" s="12"/>
      <c r="M365" s="12"/>
      <c r="N365" s="12"/>
      <c r="O365" s="12">
        <f t="shared" si="72"/>
        <v>11088599</v>
      </c>
      <c r="P365" s="13">
        <f t="shared" si="69"/>
        <v>11088599</v>
      </c>
    </row>
    <row r="366" spans="1:16" s="1" customFormat="1" ht="25.5" x14ac:dyDescent="0.2">
      <c r="A366" s="36"/>
      <c r="B366" s="3"/>
      <c r="C366" s="3"/>
      <c r="D366" s="19" t="s">
        <v>554</v>
      </c>
      <c r="E366" s="10">
        <f t="shared" si="66"/>
        <v>0</v>
      </c>
      <c r="F366" s="17"/>
      <c r="G366" s="17"/>
      <c r="H366" s="17"/>
      <c r="I366" s="17"/>
      <c r="J366" s="10">
        <f t="shared" si="67"/>
        <v>11088599</v>
      </c>
      <c r="K366" s="17">
        <f>10000000+1088599</f>
        <v>11088599</v>
      </c>
      <c r="L366" s="17"/>
      <c r="M366" s="17"/>
      <c r="N366" s="17"/>
      <c r="O366" s="17">
        <f t="shared" si="72"/>
        <v>11088599</v>
      </c>
      <c r="P366" s="16">
        <f t="shared" si="69"/>
        <v>11088599</v>
      </c>
    </row>
    <row r="367" spans="1:16" s="1" customFormat="1" ht="25.5" x14ac:dyDescent="0.2">
      <c r="A367" s="36" t="s">
        <v>544</v>
      </c>
      <c r="B367" s="3" t="s">
        <v>542</v>
      </c>
      <c r="C367" s="3" t="s">
        <v>169</v>
      </c>
      <c r="D367" s="35" t="s">
        <v>545</v>
      </c>
      <c r="E367" s="10">
        <f t="shared" si="66"/>
        <v>0</v>
      </c>
      <c r="F367" s="17"/>
      <c r="G367" s="17"/>
      <c r="H367" s="17"/>
      <c r="I367" s="17"/>
      <c r="J367" s="10">
        <f t="shared" si="67"/>
        <v>98704042</v>
      </c>
      <c r="K367" s="17">
        <f>90004042+1641600-2441600-500000+10000000</f>
        <v>98704042</v>
      </c>
      <c r="L367" s="17"/>
      <c r="M367" s="17"/>
      <c r="N367" s="17"/>
      <c r="O367" s="17">
        <f t="shared" si="72"/>
        <v>98704042</v>
      </c>
      <c r="P367" s="16">
        <f t="shared" si="69"/>
        <v>98704042</v>
      </c>
    </row>
    <row r="368" spans="1:16" s="1" customFormat="1" ht="25.5" x14ac:dyDescent="0.2">
      <c r="A368" s="36"/>
      <c r="B368" s="3"/>
      <c r="C368" s="3"/>
      <c r="D368" s="35" t="s">
        <v>546</v>
      </c>
      <c r="E368" s="10"/>
      <c r="F368" s="17"/>
      <c r="G368" s="17"/>
      <c r="H368" s="17"/>
      <c r="I368" s="17"/>
      <c r="J368" s="10">
        <f t="shared" si="67"/>
        <v>44885444</v>
      </c>
      <c r="K368" s="17">
        <v>44885444</v>
      </c>
      <c r="L368" s="17"/>
      <c r="M368" s="17"/>
      <c r="N368" s="17"/>
      <c r="O368" s="17">
        <f t="shared" si="72"/>
        <v>44885444</v>
      </c>
      <c r="P368" s="16">
        <f t="shared" si="69"/>
        <v>44885444</v>
      </c>
    </row>
    <row r="369" spans="1:18" ht="25.5" hidden="1" x14ac:dyDescent="0.2">
      <c r="A369" s="41" t="s">
        <v>628</v>
      </c>
      <c r="B369" s="8" t="s">
        <v>629</v>
      </c>
      <c r="C369" s="4" t="s">
        <v>169</v>
      </c>
      <c r="D369" s="77" t="s">
        <v>630</v>
      </c>
      <c r="E369" s="11">
        <f t="shared" si="66"/>
        <v>0</v>
      </c>
      <c r="F369" s="12"/>
      <c r="G369" s="12"/>
      <c r="H369" s="12"/>
      <c r="I369" s="12"/>
      <c r="J369" s="10">
        <f t="shared" si="67"/>
        <v>0</v>
      </c>
      <c r="K369" s="12"/>
      <c r="L369" s="12"/>
      <c r="M369" s="12"/>
      <c r="N369" s="12"/>
      <c r="O369" s="12">
        <f>K369</f>
        <v>0</v>
      </c>
      <c r="P369" s="13">
        <f t="shared" si="69"/>
        <v>0</v>
      </c>
    </row>
    <row r="370" spans="1:18" s="1" customFormat="1" ht="51" hidden="1" x14ac:dyDescent="0.2">
      <c r="A370" s="36"/>
      <c r="B370" s="18"/>
      <c r="C370" s="3"/>
      <c r="D370" s="35" t="s">
        <v>631</v>
      </c>
      <c r="E370" s="10"/>
      <c r="F370" s="17"/>
      <c r="G370" s="17"/>
      <c r="H370" s="17"/>
      <c r="I370" s="17"/>
      <c r="J370" s="10">
        <f t="shared" si="67"/>
        <v>0</v>
      </c>
      <c r="K370" s="17"/>
      <c r="L370" s="17"/>
      <c r="M370" s="17"/>
      <c r="N370" s="17"/>
      <c r="O370" s="17"/>
      <c r="P370" s="13">
        <f t="shared" si="69"/>
        <v>0</v>
      </c>
    </row>
    <row r="371" spans="1:18" s="1" customFormat="1" ht="25.5" x14ac:dyDescent="0.2">
      <c r="A371" s="36" t="s">
        <v>588</v>
      </c>
      <c r="B371" s="22" t="s">
        <v>367</v>
      </c>
      <c r="C371" s="3" t="s">
        <v>117</v>
      </c>
      <c r="D371" s="19" t="s">
        <v>366</v>
      </c>
      <c r="E371" s="10">
        <f t="shared" si="66"/>
        <v>78937977</v>
      </c>
      <c r="F371" s="17">
        <f>78837977+100000</f>
        <v>78937977</v>
      </c>
      <c r="G371" s="17"/>
      <c r="H371" s="17"/>
      <c r="I371" s="17"/>
      <c r="J371" s="11">
        <f t="shared" ref="J371:J377" si="73">L371+O371</f>
        <v>24745334</v>
      </c>
      <c r="K371" s="99">
        <f>16622139-2169600-29884+322679+10000000</f>
        <v>24745334</v>
      </c>
      <c r="L371" s="17"/>
      <c r="M371" s="17"/>
      <c r="N371" s="17"/>
      <c r="O371" s="17">
        <f>K371</f>
        <v>24745334</v>
      </c>
      <c r="P371" s="16">
        <f t="shared" si="69"/>
        <v>103683311</v>
      </c>
    </row>
    <row r="372" spans="1:18" s="1" customFormat="1" ht="25.5" hidden="1" x14ac:dyDescent="0.2">
      <c r="A372" s="36"/>
      <c r="B372" s="3"/>
      <c r="C372" s="3"/>
      <c r="D372" s="35" t="s">
        <v>546</v>
      </c>
      <c r="E372" s="10">
        <f t="shared" si="66"/>
        <v>0</v>
      </c>
      <c r="F372" s="17"/>
      <c r="G372" s="17"/>
      <c r="H372" s="17"/>
      <c r="I372" s="17"/>
      <c r="J372" s="11">
        <f t="shared" si="73"/>
        <v>0</v>
      </c>
      <c r="K372" s="17"/>
      <c r="L372" s="17"/>
      <c r="M372" s="17"/>
      <c r="N372" s="17"/>
      <c r="O372" s="17">
        <f>K372</f>
        <v>0</v>
      </c>
      <c r="P372" s="16">
        <f t="shared" si="69"/>
        <v>0</v>
      </c>
    </row>
    <row r="373" spans="1:18" hidden="1" x14ac:dyDescent="0.2">
      <c r="A373" s="41" t="s">
        <v>595</v>
      </c>
      <c r="B373" s="3" t="s">
        <v>232</v>
      </c>
      <c r="C373" s="3" t="s">
        <v>169</v>
      </c>
      <c r="D373" s="73" t="s">
        <v>233</v>
      </c>
      <c r="E373" s="10">
        <f t="shared" si="66"/>
        <v>0</v>
      </c>
      <c r="F373" s="12"/>
      <c r="G373" s="12"/>
      <c r="H373" s="12"/>
      <c r="I373" s="12"/>
      <c r="J373" s="11">
        <f t="shared" si="73"/>
        <v>0</v>
      </c>
      <c r="K373" s="12"/>
      <c r="L373" s="12"/>
      <c r="M373" s="12"/>
      <c r="N373" s="12"/>
      <c r="O373" s="17">
        <f>K373</f>
        <v>0</v>
      </c>
      <c r="P373" s="16">
        <f t="shared" si="69"/>
        <v>0</v>
      </c>
    </row>
    <row r="374" spans="1:18" hidden="1" x14ac:dyDescent="0.2">
      <c r="A374" s="41" t="s">
        <v>612</v>
      </c>
      <c r="B374" s="20" t="s">
        <v>507</v>
      </c>
      <c r="C374" s="20" t="s">
        <v>171</v>
      </c>
      <c r="D374" s="24" t="s">
        <v>175</v>
      </c>
      <c r="E374" s="10">
        <f t="shared" si="66"/>
        <v>0</v>
      </c>
      <c r="F374" s="30"/>
      <c r="G374" s="30"/>
      <c r="H374" s="30"/>
      <c r="I374" s="30"/>
      <c r="J374" s="11">
        <f t="shared" si="73"/>
        <v>0</v>
      </c>
      <c r="K374" s="30"/>
      <c r="L374" s="30"/>
      <c r="M374" s="30"/>
      <c r="N374" s="30"/>
      <c r="O374" s="12"/>
      <c r="P374" s="13">
        <f t="shared" si="69"/>
        <v>0</v>
      </c>
    </row>
    <row r="375" spans="1:18" ht="15" hidden="1" customHeight="1" x14ac:dyDescent="0.2">
      <c r="A375" s="41"/>
      <c r="B375" s="20"/>
      <c r="C375" s="20"/>
      <c r="D375" s="24" t="s">
        <v>520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610</v>
      </c>
      <c r="B376" s="22" t="s">
        <v>611</v>
      </c>
      <c r="C376" s="22" t="s">
        <v>398</v>
      </c>
      <c r="D376" s="21" t="s">
        <v>613</v>
      </c>
      <c r="E376" s="10">
        <f t="shared" si="66"/>
        <v>0</v>
      </c>
      <c r="F376" s="33"/>
      <c r="G376" s="33"/>
      <c r="H376" s="33"/>
      <c r="I376" s="33"/>
      <c r="J376" s="10">
        <f t="shared" si="73"/>
        <v>0</v>
      </c>
      <c r="K376" s="33"/>
      <c r="L376" s="33"/>
      <c r="M376" s="33"/>
      <c r="N376" s="33"/>
      <c r="O376" s="33"/>
      <c r="P376" s="16">
        <f t="shared" si="69"/>
        <v>0</v>
      </c>
    </row>
    <row r="377" spans="1:18" s="1" customFormat="1" ht="25.5" hidden="1" x14ac:dyDescent="0.2">
      <c r="A377" s="36"/>
      <c r="B377" s="22"/>
      <c r="C377" s="22"/>
      <c r="D377" s="24" t="s">
        <v>609</v>
      </c>
      <c r="E377" s="10"/>
      <c r="F377" s="33"/>
      <c r="G377" s="33"/>
      <c r="H377" s="33"/>
      <c r="I377" s="33"/>
      <c r="J377" s="10">
        <f t="shared" si="73"/>
        <v>0</v>
      </c>
      <c r="K377" s="33"/>
      <c r="L377" s="33"/>
      <c r="M377" s="33"/>
      <c r="N377" s="33"/>
      <c r="O377" s="33">
        <f>O376</f>
        <v>0</v>
      </c>
      <c r="P377" s="16">
        <f t="shared" si="69"/>
        <v>0</v>
      </c>
    </row>
    <row r="378" spans="1:18" x14ac:dyDescent="0.2">
      <c r="A378" s="41" t="s">
        <v>11</v>
      </c>
      <c r="B378" s="20" t="s">
        <v>224</v>
      </c>
      <c r="C378" s="4" t="s">
        <v>170</v>
      </c>
      <c r="D378" s="47" t="s">
        <v>125</v>
      </c>
      <c r="E378" s="11"/>
      <c r="F378" s="30"/>
      <c r="G378" s="30"/>
      <c r="H378" s="30"/>
      <c r="I378" s="30"/>
      <c r="J378" s="11">
        <f>L378+O378</f>
        <v>333390</v>
      </c>
      <c r="K378" s="30">
        <f>183390+150000</f>
        <v>333390</v>
      </c>
      <c r="L378" s="30"/>
      <c r="M378" s="30"/>
      <c r="N378" s="30"/>
      <c r="O378" s="12">
        <f>K378</f>
        <v>333390</v>
      </c>
      <c r="P378" s="13">
        <f>E378+J378</f>
        <v>333390</v>
      </c>
    </row>
    <row r="379" spans="1:18" x14ac:dyDescent="0.2">
      <c r="A379" s="41" t="s">
        <v>12</v>
      </c>
      <c r="B379" s="4" t="s">
        <v>223</v>
      </c>
      <c r="C379" s="4" t="s">
        <v>169</v>
      </c>
      <c r="D379" s="72" t="s">
        <v>375</v>
      </c>
      <c r="E379" s="11">
        <f>F379+I379</f>
        <v>0</v>
      </c>
      <c r="F379" s="11"/>
      <c r="G379" s="11"/>
      <c r="H379" s="11"/>
      <c r="I379" s="11"/>
      <c r="J379" s="11">
        <f>L379+O379</f>
        <v>4344500</v>
      </c>
      <c r="K379" s="11">
        <f>1839500+5000+600000+135000+1195000+570000</f>
        <v>4344500</v>
      </c>
      <c r="L379" s="11"/>
      <c r="M379" s="11"/>
      <c r="N379" s="11"/>
      <c r="O379" s="12">
        <f>K379</f>
        <v>4344500</v>
      </c>
      <c r="P379" s="13">
        <f>E379+J379</f>
        <v>4344500</v>
      </c>
    </row>
    <row r="380" spans="1:18" s="1" customFormat="1" x14ac:dyDescent="0.2">
      <c r="A380" s="36" t="s">
        <v>612</v>
      </c>
      <c r="B380" s="22" t="s">
        <v>507</v>
      </c>
      <c r="C380" s="4" t="s">
        <v>171</v>
      </c>
      <c r="D380" s="14" t="s">
        <v>175</v>
      </c>
      <c r="E380" s="11"/>
      <c r="F380" s="33"/>
      <c r="G380" s="33"/>
      <c r="H380" s="33"/>
      <c r="I380" s="33"/>
      <c r="J380" s="11">
        <f>L380+O380</f>
        <v>31436000</v>
      </c>
      <c r="K380" s="33"/>
      <c r="L380" s="33"/>
      <c r="M380" s="33"/>
      <c r="N380" s="33"/>
      <c r="O380" s="33">
        <f>O381</f>
        <v>31436000</v>
      </c>
      <c r="P380" s="13">
        <f>E380+J380</f>
        <v>31436000</v>
      </c>
    </row>
    <row r="381" spans="1:18" s="1" customFormat="1" ht="13.5" customHeight="1" x14ac:dyDescent="0.2">
      <c r="A381" s="36"/>
      <c r="B381" s="22"/>
      <c r="C381" s="3"/>
      <c r="D381" s="24" t="s">
        <v>520</v>
      </c>
      <c r="E381" s="11"/>
      <c r="F381" s="33"/>
      <c r="G381" s="33"/>
      <c r="H381" s="33"/>
      <c r="I381" s="33"/>
      <c r="J381" s="11">
        <f>L381+O381</f>
        <v>31436000</v>
      </c>
      <c r="K381" s="33"/>
      <c r="L381" s="33"/>
      <c r="M381" s="33"/>
      <c r="N381" s="33"/>
      <c r="O381" s="33">
        <v>31436000</v>
      </c>
      <c r="P381" s="13">
        <f>E381+J381</f>
        <v>31436000</v>
      </c>
    </row>
    <row r="382" spans="1:18" s="1" customFormat="1" ht="25.5" x14ac:dyDescent="0.2">
      <c r="A382" s="36" t="s">
        <v>50</v>
      </c>
      <c r="B382" s="22" t="s">
        <v>49</v>
      </c>
      <c r="C382" s="22" t="s">
        <v>116</v>
      </c>
      <c r="D382" s="24" t="s">
        <v>48</v>
      </c>
      <c r="E382" s="11">
        <f>F382+I382</f>
        <v>1020000</v>
      </c>
      <c r="F382" s="33">
        <f>260000+570000+190000</f>
        <v>1020000</v>
      </c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1020000</v>
      </c>
    </row>
    <row r="383" spans="1:18" ht="15.75" customHeight="1" x14ac:dyDescent="0.2">
      <c r="A383" s="62">
        <v>3100000</v>
      </c>
      <c r="B383" s="6"/>
      <c r="C383" s="7"/>
      <c r="D383" s="31" t="s">
        <v>118</v>
      </c>
      <c r="E383" s="25">
        <f>E385</f>
        <v>5794600</v>
      </c>
      <c r="F383" s="25">
        <f t="shared" ref="F383:O383" si="74">F385</f>
        <v>5794600</v>
      </c>
      <c r="G383" s="25">
        <f t="shared" si="74"/>
        <v>1400000</v>
      </c>
      <c r="H383" s="25">
        <f t="shared" si="74"/>
        <v>0</v>
      </c>
      <c r="I383" s="25">
        <f t="shared" si="74"/>
        <v>0</v>
      </c>
      <c r="J383" s="25">
        <f t="shared" si="74"/>
        <v>3017000</v>
      </c>
      <c r="K383" s="25">
        <f>K385</f>
        <v>3017000</v>
      </c>
      <c r="L383" s="25">
        <f t="shared" si="74"/>
        <v>0</v>
      </c>
      <c r="M383" s="25">
        <f t="shared" si="74"/>
        <v>0</v>
      </c>
      <c r="N383" s="25">
        <f t="shared" si="74"/>
        <v>0</v>
      </c>
      <c r="O383" s="25">
        <f t="shared" si="74"/>
        <v>3017000</v>
      </c>
      <c r="P383" s="13">
        <f t="shared" si="69"/>
        <v>8811600</v>
      </c>
      <c r="R383" s="34"/>
    </row>
    <row r="384" spans="1:18" s="1" customFormat="1" hidden="1" x14ac:dyDescent="0.2">
      <c r="A384" s="36"/>
      <c r="B384" s="18"/>
      <c r="C384" s="3"/>
      <c r="D384" s="15" t="s">
        <v>519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383</v>
      </c>
      <c r="B385" s="8"/>
      <c r="C385" s="7"/>
      <c r="D385" s="15" t="s">
        <v>118</v>
      </c>
      <c r="E385" s="25">
        <f>E386+E388+E391+E396</f>
        <v>5794600</v>
      </c>
      <c r="F385" s="25">
        <f>F386+F388+F391+F396+F398</f>
        <v>5794600</v>
      </c>
      <c r="G385" s="25">
        <f>G386+G388+G391+G396</f>
        <v>1400000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3017000</v>
      </c>
      <c r="K385" s="25">
        <f>K386+K388+K391+K396+K392+K395+K397+K387</f>
        <v>3017000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3017000</v>
      </c>
      <c r="P385" s="25">
        <f>P386+P388+P391+P396+P392+P395+P397+P387</f>
        <v>8811600</v>
      </c>
    </row>
    <row r="386" spans="1:18" ht="25.5" x14ac:dyDescent="0.2">
      <c r="A386" s="41" t="s">
        <v>384</v>
      </c>
      <c r="B386" s="4" t="s">
        <v>235</v>
      </c>
      <c r="C386" s="4" t="s">
        <v>163</v>
      </c>
      <c r="D386" s="14" t="s">
        <v>645</v>
      </c>
      <c r="E386" s="11">
        <f t="shared" ref="E386:E393" si="75">F386+I386</f>
        <v>1785600</v>
      </c>
      <c r="F386" s="12">
        <f>1885600-100000</f>
        <v>1785600</v>
      </c>
      <c r="G386" s="12">
        <f>1500000-100000</f>
        <v>1400000</v>
      </c>
      <c r="H386" s="12"/>
      <c r="I386" s="12"/>
      <c r="J386" s="11">
        <f>L386+O386</f>
        <v>28000</v>
      </c>
      <c r="K386" s="12">
        <f>228000-200000</f>
        <v>28000</v>
      </c>
      <c r="L386" s="12"/>
      <c r="M386" s="12"/>
      <c r="N386" s="12"/>
      <c r="O386" s="12">
        <f t="shared" ref="O386:O391" si="76">K386</f>
        <v>28000</v>
      </c>
      <c r="P386" s="13">
        <f t="shared" ref="P386:P402" si="77">E386+J386</f>
        <v>1813600</v>
      </c>
    </row>
    <row r="387" spans="1:18" x14ac:dyDescent="0.2">
      <c r="A387" s="41" t="s">
        <v>395</v>
      </c>
      <c r="B387" s="4" t="s">
        <v>394</v>
      </c>
      <c r="C387" s="4" t="s">
        <v>166</v>
      </c>
      <c r="D387" s="14" t="s">
        <v>393</v>
      </c>
      <c r="E387" s="11"/>
      <c r="F387" s="12"/>
      <c r="G387" s="12"/>
      <c r="H387" s="12"/>
      <c r="I387" s="12"/>
      <c r="J387" s="11">
        <f>L387+O387</f>
        <v>2000000</v>
      </c>
      <c r="K387" s="12">
        <v>2000000</v>
      </c>
      <c r="L387" s="12"/>
      <c r="M387" s="12"/>
      <c r="N387" s="12"/>
      <c r="O387" s="12">
        <f t="shared" si="76"/>
        <v>2000000</v>
      </c>
      <c r="P387" s="13">
        <f t="shared" si="77"/>
        <v>2000000</v>
      </c>
    </row>
    <row r="388" spans="1:18" x14ac:dyDescent="0.2">
      <c r="A388" s="41" t="s">
        <v>386</v>
      </c>
      <c r="B388" s="4" t="s">
        <v>385</v>
      </c>
      <c r="C388" s="4" t="s">
        <v>168</v>
      </c>
      <c r="D388" s="21" t="s">
        <v>24</v>
      </c>
      <c r="E388" s="11">
        <f t="shared" si="75"/>
        <v>0</v>
      </c>
      <c r="F388" s="12"/>
      <c r="G388" s="12"/>
      <c r="H388" s="12"/>
      <c r="I388" s="12"/>
      <c r="J388" s="11">
        <f>L388+O388</f>
        <v>700000</v>
      </c>
      <c r="K388" s="12">
        <v>700000</v>
      </c>
      <c r="L388" s="12"/>
      <c r="M388" s="12"/>
      <c r="N388" s="12"/>
      <c r="O388" s="12">
        <f t="shared" si="76"/>
        <v>700000</v>
      </c>
      <c r="P388" s="13">
        <f t="shared" si="77"/>
        <v>700000</v>
      </c>
    </row>
    <row r="389" spans="1:18" s="1" customFormat="1" ht="25.5" hidden="1" x14ac:dyDescent="0.2">
      <c r="A389" s="36" t="s">
        <v>395</v>
      </c>
      <c r="B389" s="3" t="s">
        <v>394</v>
      </c>
      <c r="C389" s="3" t="s">
        <v>166</v>
      </c>
      <c r="D389" s="73" t="s">
        <v>393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6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519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6"/>
        <v>0</v>
      </c>
      <c r="P390" s="13">
        <f>E390+J390</f>
        <v>0</v>
      </c>
    </row>
    <row r="391" spans="1:18" x14ac:dyDescent="0.2">
      <c r="A391" s="41" t="s">
        <v>389</v>
      </c>
      <c r="B391" s="4" t="s">
        <v>388</v>
      </c>
      <c r="C391" s="4" t="s">
        <v>169</v>
      </c>
      <c r="D391" s="5" t="s">
        <v>387</v>
      </c>
      <c r="E391" s="11">
        <f t="shared" si="75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6"/>
        <v>199000</v>
      </c>
      <c r="P391" s="13">
        <f t="shared" si="77"/>
        <v>199000</v>
      </c>
    </row>
    <row r="392" spans="1:18" ht="17.25" hidden="1" customHeight="1" x14ac:dyDescent="0.2">
      <c r="A392" s="41" t="s">
        <v>392</v>
      </c>
      <c r="B392" s="4" t="s">
        <v>391</v>
      </c>
      <c r="C392" s="4"/>
      <c r="D392" s="72" t="s">
        <v>390</v>
      </c>
      <c r="E392" s="11">
        <f t="shared" si="75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>
        <f>K389+K393</f>
        <v>0</v>
      </c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7"/>
        <v>0</v>
      </c>
    </row>
    <row r="393" spans="1:18" s="1" customFormat="1" ht="38.25" hidden="1" x14ac:dyDescent="0.2">
      <c r="A393" s="36" t="s">
        <v>563</v>
      </c>
      <c r="B393" s="3" t="s">
        <v>564</v>
      </c>
      <c r="C393" s="3"/>
      <c r="D393" s="82" t="s">
        <v>565</v>
      </c>
      <c r="E393" s="11">
        <f t="shared" si="75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7"/>
        <v>0</v>
      </c>
    </row>
    <row r="394" spans="1:18" s="1" customFormat="1" ht="51" hidden="1" x14ac:dyDescent="0.2">
      <c r="A394" s="36"/>
      <c r="B394" s="3"/>
      <c r="C394" s="3"/>
      <c r="D394" s="73" t="s">
        <v>566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7"/>
        <v>0</v>
      </c>
    </row>
    <row r="395" spans="1:18" hidden="1" x14ac:dyDescent="0.2">
      <c r="A395" s="41" t="s">
        <v>512</v>
      </c>
      <c r="B395" s="4" t="s">
        <v>223</v>
      </c>
      <c r="C395" s="4" t="s">
        <v>169</v>
      </c>
      <c r="D395" s="82" t="s">
        <v>375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7"/>
        <v>0</v>
      </c>
    </row>
    <row r="396" spans="1:18" hidden="1" x14ac:dyDescent="0.2">
      <c r="A396" s="41" t="s">
        <v>495</v>
      </c>
      <c r="B396" s="4" t="s">
        <v>228</v>
      </c>
      <c r="C396" s="4"/>
      <c r="D396" s="82" t="s">
        <v>230</v>
      </c>
      <c r="E396" s="11">
        <f>E398</f>
        <v>4009000</v>
      </c>
      <c r="F396" s="11"/>
      <c r="G396" s="11"/>
      <c r="H396" s="11">
        <f t="shared" ref="H396:N396" si="78">H398</f>
        <v>0</v>
      </c>
      <c r="I396" s="11">
        <f t="shared" si="78"/>
        <v>0</v>
      </c>
      <c r="J396" s="11">
        <f t="shared" si="78"/>
        <v>90000</v>
      </c>
      <c r="K396" s="11">
        <f>K398</f>
        <v>90000</v>
      </c>
      <c r="L396" s="11">
        <f t="shared" si="78"/>
        <v>0</v>
      </c>
      <c r="M396" s="11">
        <f t="shared" si="78"/>
        <v>0</v>
      </c>
      <c r="N396" s="11">
        <f t="shared" si="78"/>
        <v>0</v>
      </c>
      <c r="O396" s="12">
        <f>K396</f>
        <v>90000</v>
      </c>
      <c r="P396" s="13">
        <f t="shared" si="77"/>
        <v>4099000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1"/>
      <c r="K397" s="11"/>
      <c r="L397" s="11"/>
      <c r="M397" s="11"/>
      <c r="N397" s="11"/>
      <c r="O397" s="12"/>
      <c r="P397" s="13">
        <f t="shared" si="77"/>
        <v>0</v>
      </c>
    </row>
    <row r="398" spans="1:18" ht="15" customHeight="1" x14ac:dyDescent="0.2">
      <c r="A398" s="41" t="s">
        <v>496</v>
      </c>
      <c r="B398" s="4" t="s">
        <v>232</v>
      </c>
      <c r="C398" s="4" t="s">
        <v>169</v>
      </c>
      <c r="D398" s="82" t="s">
        <v>233</v>
      </c>
      <c r="E398" s="11">
        <f>F398+I398</f>
        <v>4009000</v>
      </c>
      <c r="F398" s="11">
        <f>199000+3110000+700000</f>
        <v>4009000</v>
      </c>
      <c r="G398" s="11"/>
      <c r="H398" s="11"/>
      <c r="I398" s="11"/>
      <c r="J398" s="11">
        <f>L398+O398</f>
        <v>90000</v>
      </c>
      <c r="K398" s="11">
        <v>90000</v>
      </c>
      <c r="L398" s="11"/>
      <c r="M398" s="11"/>
      <c r="N398" s="11"/>
      <c r="O398" s="11">
        <f>K398</f>
        <v>90000</v>
      </c>
      <c r="P398" s="13">
        <f t="shared" si="77"/>
        <v>4099000</v>
      </c>
    </row>
    <row r="399" spans="1:18" ht="25.5" x14ac:dyDescent="0.2">
      <c r="A399" s="62" t="s">
        <v>687</v>
      </c>
      <c r="B399" s="6"/>
      <c r="C399" s="7"/>
      <c r="D399" s="31" t="s">
        <v>0</v>
      </c>
      <c r="E399" s="25">
        <f>E400</f>
        <v>6108400</v>
      </c>
      <c r="F399" s="25">
        <f t="shared" ref="F399:P400" si="79">F400</f>
        <v>6108400</v>
      </c>
      <c r="G399" s="25">
        <f t="shared" si="79"/>
        <v>4867700</v>
      </c>
      <c r="H399" s="25">
        <f t="shared" si="79"/>
        <v>140000</v>
      </c>
      <c r="I399" s="25">
        <f t="shared" si="79"/>
        <v>0</v>
      </c>
      <c r="J399" s="25">
        <f t="shared" si="79"/>
        <v>0</v>
      </c>
      <c r="K399" s="25">
        <f t="shared" si="79"/>
        <v>0</v>
      </c>
      <c r="L399" s="25">
        <f t="shared" si="79"/>
        <v>0</v>
      </c>
      <c r="M399" s="25">
        <f t="shared" si="79"/>
        <v>0</v>
      </c>
      <c r="N399" s="25">
        <f t="shared" si="79"/>
        <v>0</v>
      </c>
      <c r="O399" s="25">
        <f t="shared" si="79"/>
        <v>0</v>
      </c>
      <c r="P399" s="25">
        <f t="shared" si="79"/>
        <v>6108400</v>
      </c>
      <c r="R399" s="34"/>
    </row>
    <row r="400" spans="1:18" ht="25.5" x14ac:dyDescent="0.2">
      <c r="A400" s="41" t="s">
        <v>688</v>
      </c>
      <c r="B400" s="8"/>
      <c r="C400" s="7"/>
      <c r="D400" s="15" t="s">
        <v>0</v>
      </c>
      <c r="E400" s="25">
        <f>E401</f>
        <v>6108400</v>
      </c>
      <c r="F400" s="25">
        <f t="shared" si="79"/>
        <v>6108400</v>
      </c>
      <c r="G400" s="25">
        <f t="shared" si="79"/>
        <v>4867700</v>
      </c>
      <c r="H400" s="25">
        <f t="shared" si="79"/>
        <v>140000</v>
      </c>
      <c r="I400" s="25">
        <f t="shared" si="79"/>
        <v>0</v>
      </c>
      <c r="J400" s="25">
        <f t="shared" si="79"/>
        <v>0</v>
      </c>
      <c r="K400" s="25">
        <f t="shared" si="79"/>
        <v>0</v>
      </c>
      <c r="L400" s="25">
        <f t="shared" si="79"/>
        <v>0</v>
      </c>
      <c r="M400" s="25">
        <f t="shared" si="79"/>
        <v>0</v>
      </c>
      <c r="N400" s="25">
        <f t="shared" si="79"/>
        <v>0</v>
      </c>
      <c r="O400" s="25">
        <f t="shared" si="79"/>
        <v>0</v>
      </c>
      <c r="P400" s="25">
        <f t="shared" si="79"/>
        <v>6108400</v>
      </c>
    </row>
    <row r="401" spans="1:18" ht="25.9" customHeight="1" x14ac:dyDescent="0.2">
      <c r="A401" s="41" t="s">
        <v>689</v>
      </c>
      <c r="B401" s="4" t="s">
        <v>235</v>
      </c>
      <c r="C401" s="4" t="s">
        <v>163</v>
      </c>
      <c r="D401" s="14" t="s">
        <v>645</v>
      </c>
      <c r="E401" s="11">
        <f>F401+I401</f>
        <v>6108400</v>
      </c>
      <c r="F401" s="12">
        <f>3794000+366000+100000+1367600+300800+150000+30000</f>
        <v>6108400</v>
      </c>
      <c r="G401" s="12">
        <f>3070100+300000+1367600+130000</f>
        <v>4867700</v>
      </c>
      <c r="H401" s="12">
        <f>78500+31500+30000</f>
        <v>140000</v>
      </c>
      <c r="I401" s="12"/>
      <c r="J401" s="11">
        <f>L401+O401</f>
        <v>0</v>
      </c>
      <c r="K401" s="12"/>
      <c r="L401" s="12"/>
      <c r="M401" s="12"/>
      <c r="N401" s="12"/>
      <c r="O401" s="12">
        <f>K401</f>
        <v>0</v>
      </c>
      <c r="P401" s="13">
        <f>E401+J401</f>
        <v>6108400</v>
      </c>
    </row>
    <row r="402" spans="1:18" ht="15" customHeight="1" x14ac:dyDescent="0.2">
      <c r="A402" s="62">
        <v>3700000</v>
      </c>
      <c r="B402" s="6"/>
      <c r="C402" s="7"/>
      <c r="D402" s="31" t="s">
        <v>119</v>
      </c>
      <c r="E402" s="25">
        <f>E403</f>
        <v>29241400</v>
      </c>
      <c r="F402" s="25">
        <f t="shared" ref="F402:O402" si="80">F403</f>
        <v>26586400</v>
      </c>
      <c r="G402" s="25">
        <f t="shared" si="80"/>
        <v>7380000</v>
      </c>
      <c r="H402" s="25">
        <f t="shared" si="80"/>
        <v>172000</v>
      </c>
      <c r="I402" s="25">
        <f t="shared" si="80"/>
        <v>0</v>
      </c>
      <c r="J402" s="25">
        <f t="shared" si="80"/>
        <v>3086211</v>
      </c>
      <c r="K402" s="25">
        <f>K403</f>
        <v>3086211</v>
      </c>
      <c r="L402" s="25">
        <f t="shared" si="80"/>
        <v>0</v>
      </c>
      <c r="M402" s="25">
        <f t="shared" si="80"/>
        <v>0</v>
      </c>
      <c r="N402" s="25">
        <f t="shared" si="80"/>
        <v>0</v>
      </c>
      <c r="O402" s="25">
        <f t="shared" si="80"/>
        <v>3086211</v>
      </c>
      <c r="P402" s="13">
        <f t="shared" si="77"/>
        <v>32327611</v>
      </c>
      <c r="R402" s="34"/>
    </row>
    <row r="403" spans="1:18" x14ac:dyDescent="0.2">
      <c r="A403" s="41" t="s">
        <v>396</v>
      </c>
      <c r="B403" s="8"/>
      <c r="C403" s="7"/>
      <c r="D403" s="15" t="s">
        <v>119</v>
      </c>
      <c r="E403" s="25">
        <f>E404+E406+E408+E405+E407</f>
        <v>29241400</v>
      </c>
      <c r="F403" s="25">
        <f t="shared" ref="F403:P403" si="81">F404+F406+F408+F405+F407</f>
        <v>26586400</v>
      </c>
      <c r="G403" s="25">
        <f t="shared" si="81"/>
        <v>7380000</v>
      </c>
      <c r="H403" s="25">
        <f t="shared" si="81"/>
        <v>172000</v>
      </c>
      <c r="I403" s="25">
        <f t="shared" si="81"/>
        <v>0</v>
      </c>
      <c r="J403" s="25">
        <f>J404+J406+J408+J405+J407</f>
        <v>3086211</v>
      </c>
      <c r="K403" s="25">
        <f>K404+K406+K408+K405+K407</f>
        <v>3086211</v>
      </c>
      <c r="L403" s="25">
        <f t="shared" si="81"/>
        <v>0</v>
      </c>
      <c r="M403" s="25">
        <f t="shared" si="81"/>
        <v>0</v>
      </c>
      <c r="N403" s="25">
        <f t="shared" si="81"/>
        <v>0</v>
      </c>
      <c r="O403" s="25">
        <f t="shared" si="81"/>
        <v>3086211</v>
      </c>
      <c r="P403" s="25">
        <f t="shared" si="81"/>
        <v>32327611</v>
      </c>
    </row>
    <row r="404" spans="1:18" ht="25.9" customHeight="1" x14ac:dyDescent="0.2">
      <c r="A404" s="41" t="s">
        <v>397</v>
      </c>
      <c r="B404" s="4" t="s">
        <v>235</v>
      </c>
      <c r="C404" s="4" t="s">
        <v>163</v>
      </c>
      <c r="D404" s="14" t="s">
        <v>645</v>
      </c>
      <c r="E404" s="11">
        <f>F404+I404</f>
        <v>9825400</v>
      </c>
      <c r="F404" s="12">
        <f>9555400+200000+20000+50000</f>
        <v>9825400</v>
      </c>
      <c r="G404" s="12">
        <v>7380000</v>
      </c>
      <c r="H404" s="12">
        <f>102000+20000+50000</f>
        <v>172000</v>
      </c>
      <c r="I404" s="12"/>
      <c r="J404" s="11">
        <f>L404+O404</f>
        <v>886190</v>
      </c>
      <c r="K404" s="12">
        <f>4646190-10000-3750000</f>
        <v>886190</v>
      </c>
      <c r="L404" s="12"/>
      <c r="M404" s="12"/>
      <c r="N404" s="12"/>
      <c r="O404" s="12">
        <f>K404</f>
        <v>886190</v>
      </c>
      <c r="P404" s="13">
        <f>E404+J404</f>
        <v>10711590</v>
      </c>
    </row>
    <row r="405" spans="1:18" x14ac:dyDescent="0.2">
      <c r="A405" s="41" t="s">
        <v>548</v>
      </c>
      <c r="B405" s="4" t="s">
        <v>75</v>
      </c>
      <c r="C405" s="4" t="s">
        <v>549</v>
      </c>
      <c r="D405" s="47" t="s">
        <v>550</v>
      </c>
      <c r="E405" s="11">
        <f>F405+I405</f>
        <v>14745000</v>
      </c>
      <c r="F405" s="12">
        <v>14745000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14745000</v>
      </c>
    </row>
    <row r="406" spans="1:18" x14ac:dyDescent="0.2">
      <c r="A406" s="41" t="s">
        <v>680</v>
      </c>
      <c r="B406" s="8" t="s">
        <v>681</v>
      </c>
      <c r="C406" s="4" t="s">
        <v>176</v>
      </c>
      <c r="D406" s="14" t="s">
        <v>682</v>
      </c>
      <c r="E406" s="13">
        <f>3870000-145000-280000-190000-1100000+500000</f>
        <v>2655000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2655000</v>
      </c>
    </row>
    <row r="407" spans="1:18" x14ac:dyDescent="0.2">
      <c r="A407" s="41" t="s">
        <v>533</v>
      </c>
      <c r="B407" s="8" t="s">
        <v>534</v>
      </c>
      <c r="C407" s="4" t="s">
        <v>523</v>
      </c>
      <c r="D407" s="14" t="s">
        <v>535</v>
      </c>
      <c r="E407" s="25">
        <f>F407</f>
        <v>1266000</v>
      </c>
      <c r="F407" s="12">
        <v>1266000</v>
      </c>
      <c r="G407" s="12"/>
      <c r="H407" s="12"/>
      <c r="I407" s="12"/>
      <c r="J407" s="11">
        <f>L407+O407</f>
        <v>480000</v>
      </c>
      <c r="K407" s="12">
        <v>480000</v>
      </c>
      <c r="L407" s="12"/>
      <c r="M407" s="12"/>
      <c r="N407" s="12"/>
      <c r="O407" s="12">
        <f>K407</f>
        <v>480000</v>
      </c>
      <c r="P407" s="13">
        <f>E407+J407</f>
        <v>1746000</v>
      </c>
    </row>
    <row r="408" spans="1:18" ht="25.5" x14ac:dyDescent="0.2">
      <c r="A408" s="41" t="s">
        <v>524</v>
      </c>
      <c r="B408" s="8" t="s">
        <v>521</v>
      </c>
      <c r="C408" s="4" t="s">
        <v>523</v>
      </c>
      <c r="D408" s="14" t="s">
        <v>522</v>
      </c>
      <c r="E408" s="25">
        <f>F408+I408</f>
        <v>750000</v>
      </c>
      <c r="F408" s="12">
        <f>50000+700000</f>
        <v>750000</v>
      </c>
      <c r="G408" s="12"/>
      <c r="H408" s="12"/>
      <c r="I408" s="12"/>
      <c r="J408" s="11">
        <f>L408+O408</f>
        <v>1720021</v>
      </c>
      <c r="K408" s="12">
        <f>1610621+109400</f>
        <v>1720021</v>
      </c>
      <c r="L408" s="12"/>
      <c r="M408" s="12"/>
      <c r="N408" s="12"/>
      <c r="O408" s="12">
        <f>K408</f>
        <v>1720021</v>
      </c>
      <c r="P408" s="13">
        <f>E408+J408</f>
        <v>2470021</v>
      </c>
    </row>
    <row r="409" spans="1:18" ht="15.75" customHeight="1" x14ac:dyDescent="0.2">
      <c r="A409" s="41"/>
      <c r="B409" s="8"/>
      <c r="C409" s="91"/>
      <c r="D409" s="31" t="s">
        <v>120</v>
      </c>
      <c r="E409" s="25">
        <f t="shared" ref="E409:P409" si="82">E14+E42+E96+E154+E245+E251+E265+E282+E312+E383+E402+E399</f>
        <v>1023646121</v>
      </c>
      <c r="F409" s="25">
        <f t="shared" si="82"/>
        <v>1020991121</v>
      </c>
      <c r="G409" s="25">
        <f t="shared" si="82"/>
        <v>534146361</v>
      </c>
      <c r="H409" s="25">
        <f t="shared" si="82"/>
        <v>68667254</v>
      </c>
      <c r="I409" s="25">
        <f t="shared" si="82"/>
        <v>0</v>
      </c>
      <c r="J409" s="25">
        <f t="shared" si="82"/>
        <v>444493899</v>
      </c>
      <c r="K409" s="25">
        <f t="shared" si="82"/>
        <v>383604064</v>
      </c>
      <c r="L409" s="25">
        <f t="shared" si="82"/>
        <v>28403258</v>
      </c>
      <c r="M409" s="25">
        <f t="shared" si="82"/>
        <v>3004583</v>
      </c>
      <c r="N409" s="25">
        <f t="shared" si="82"/>
        <v>643250</v>
      </c>
      <c r="O409" s="25">
        <f t="shared" si="82"/>
        <v>416040841</v>
      </c>
      <c r="P409" s="25">
        <f t="shared" si="82"/>
        <v>1468140020</v>
      </c>
      <c r="R409" s="34"/>
    </row>
    <row r="410" spans="1:18" x14ac:dyDescent="0.2">
      <c r="P410" s="34"/>
    </row>
    <row r="411" spans="1:18" ht="19.5" customHeight="1" x14ac:dyDescent="0.2">
      <c r="D411" s="92" t="s">
        <v>633</v>
      </c>
      <c r="E411" s="92"/>
      <c r="F411" s="92"/>
      <c r="G411" s="92"/>
      <c r="H411" s="92"/>
      <c r="I411" s="92"/>
      <c r="J411" s="92"/>
      <c r="K411" s="92"/>
      <c r="O411" s="92" t="s">
        <v>634</v>
      </c>
    </row>
    <row r="412" spans="1:18" ht="25.5" customHeight="1" x14ac:dyDescent="0.25">
      <c r="D412" s="121" t="s">
        <v>640</v>
      </c>
      <c r="E412" s="122"/>
      <c r="O412" s="2" t="s">
        <v>641</v>
      </c>
    </row>
    <row r="413" spans="1:18" ht="13.9" customHeight="1" x14ac:dyDescent="0.2"/>
    <row r="414" spans="1:18" x14ac:dyDescent="0.2">
      <c r="E414" s="93">
        <f>1164429526+10000000+9780000</f>
        <v>1184209526</v>
      </c>
      <c r="F414" s="93"/>
      <c r="G414" s="93"/>
      <c r="H414" s="93"/>
      <c r="I414" s="93"/>
      <c r="J414" s="93">
        <f>156985837+10000000</f>
        <v>166985837</v>
      </c>
      <c r="K414" s="93">
        <f>97122641+10000000</f>
        <v>107122641</v>
      </c>
      <c r="L414" s="93"/>
      <c r="M414" s="93"/>
      <c r="N414" s="93"/>
      <c r="O414" s="93"/>
      <c r="P414" s="93">
        <f>1321415363+20000000+9780000</f>
        <v>1351195363</v>
      </c>
      <c r="Q414" s="94" t="s">
        <v>636</v>
      </c>
    </row>
    <row r="415" spans="1:18" x14ac:dyDescent="0.2">
      <c r="E415" s="93">
        <f>E409-E414</f>
        <v>-160563405</v>
      </c>
      <c r="F415" s="93"/>
      <c r="G415" s="93"/>
      <c r="H415" s="93"/>
      <c r="I415" s="93"/>
      <c r="J415" s="93">
        <f>J414-J409</f>
        <v>-277508062</v>
      </c>
      <c r="K415" s="93">
        <f>K414-K409</f>
        <v>-276481423</v>
      </c>
      <c r="L415" s="93"/>
      <c r="M415" s="93"/>
      <c r="N415" s="93"/>
      <c r="O415" s="93"/>
      <c r="P415" s="93">
        <f>P414-P409</f>
        <v>-116944657</v>
      </c>
      <c r="Q415" s="94" t="s">
        <v>637</v>
      </c>
    </row>
    <row r="416" spans="1:18" x14ac:dyDescent="0.2">
      <c r="E416" s="93">
        <f>'[1]додаток 2  (3)'!$D$26</f>
        <v>-160563405</v>
      </c>
      <c r="F416" s="93"/>
      <c r="G416" s="93"/>
      <c r="H416" s="93"/>
      <c r="I416" s="93"/>
      <c r="J416" s="93">
        <f>'[1]додаток 2  (3)'!$E$46</f>
        <v>276130562</v>
      </c>
      <c r="K416" s="93">
        <f>'[1]додаток 2  (3)'!$F$46</f>
        <v>275103923</v>
      </c>
      <c r="L416" s="93"/>
      <c r="M416" s="93"/>
      <c r="N416" s="93"/>
      <c r="O416" s="93"/>
      <c r="P416" s="93">
        <f>'[1]додаток 2  (3)'!$C$46</f>
        <v>115567157</v>
      </c>
      <c r="Q416" s="94" t="s">
        <v>638</v>
      </c>
    </row>
    <row r="417" spans="4:17" x14ac:dyDescent="0.2">
      <c r="E417" s="93">
        <f>E415-E416</f>
        <v>0</v>
      </c>
      <c r="F417" s="93"/>
      <c r="G417" s="93"/>
      <c r="H417" s="93"/>
      <c r="I417" s="93"/>
      <c r="J417" s="93">
        <f>J415+J416</f>
        <v>-1377500</v>
      </c>
      <c r="K417" s="93">
        <f>K415+K416</f>
        <v>-1377500</v>
      </c>
      <c r="L417" s="93"/>
      <c r="M417" s="93"/>
      <c r="N417" s="93"/>
      <c r="O417" s="93"/>
      <c r="P417" s="93">
        <f>P415+P416</f>
        <v>-1377500</v>
      </c>
    </row>
    <row r="418" spans="4:17" x14ac:dyDescent="0.2">
      <c r="E418" s="93">
        <v>0</v>
      </c>
      <c r="F418" s="93"/>
      <c r="G418" s="93"/>
      <c r="H418" s="93"/>
      <c r="I418" s="93"/>
      <c r="J418" s="93">
        <v>-1377500</v>
      </c>
      <c r="K418" s="93">
        <v>-1377500</v>
      </c>
      <c r="L418" s="93"/>
      <c r="M418" s="93"/>
      <c r="N418" s="93"/>
      <c r="O418" s="93"/>
      <c r="P418" s="93">
        <v>-1377500</v>
      </c>
      <c r="Q418" s="2" t="s">
        <v>639</v>
      </c>
    </row>
    <row r="419" spans="4:17" x14ac:dyDescent="0.2">
      <c r="E419" s="93">
        <f>E417+E418</f>
        <v>0</v>
      </c>
      <c r="F419" s="93"/>
      <c r="G419" s="93"/>
      <c r="H419" s="93"/>
      <c r="I419" s="93"/>
      <c r="J419" s="93">
        <f>J417-J418</f>
        <v>0</v>
      </c>
      <c r="K419" s="93">
        <f>K417-K418</f>
        <v>0</v>
      </c>
      <c r="L419" s="93"/>
      <c r="M419" s="93"/>
      <c r="N419" s="93"/>
      <c r="O419" s="93"/>
      <c r="P419" s="93">
        <f>P417-P418</f>
        <v>0</v>
      </c>
    </row>
    <row r="420" spans="4:17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x14ac:dyDescent="0.2">
      <c r="K421" s="93"/>
    </row>
    <row r="422" spans="4:17" x14ac:dyDescent="0.2">
      <c r="E422" s="2">
        <f>50000/E409*100</f>
        <v>4.8845005099179195E-3</v>
      </c>
    </row>
    <row r="423" spans="4:17" x14ac:dyDescent="0.2">
      <c r="E423" s="2">
        <f>E406/E409*100</f>
        <v>0.25936697707664147</v>
      </c>
    </row>
    <row r="424" spans="4:17" x14ac:dyDescent="0.2">
      <c r="D424" s="95"/>
    </row>
  </sheetData>
  <mergeCells count="25">
    <mergeCell ref="D412:E412"/>
    <mergeCell ref="L10:L12"/>
    <mergeCell ref="G11:G12"/>
    <mergeCell ref="H11:H12"/>
    <mergeCell ref="I10:I12"/>
    <mergeCell ref="E10:E12"/>
    <mergeCell ref="F10:F12"/>
    <mergeCell ref="J10:J12"/>
    <mergeCell ref="N11:N12"/>
    <mergeCell ref="M11:M12"/>
    <mergeCell ref="M10:N10"/>
    <mergeCell ref="N2:P2"/>
    <mergeCell ref="N4:P4"/>
    <mergeCell ref="C5:P5"/>
    <mergeCell ref="C6:P6"/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4" fitToHeight="5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2021-09-20T09:01:18Z</cp:lastPrinted>
  <dcterms:created xsi:type="dcterms:W3CDTF">2016-02-15T14:53:30Z</dcterms:created>
  <dcterms:modified xsi:type="dcterms:W3CDTF">2021-09-21T06:09:58Z</dcterms:modified>
</cp:coreProperties>
</file>